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tabRatio="832" activeTab="4"/>
  </bookViews>
  <sheets>
    <sheet name="OPĆI DIO" sheetId="3" r:id="rId1"/>
    <sheet name="funkcijska klasifika" sheetId="13" r:id="rId2"/>
    <sheet name="izvori financiranja" sheetId="15" r:id="rId3"/>
    <sheet name="PRIHODI" sheetId="17" r:id="rId4"/>
    <sheet name="RASHODI 2023. 3.razina" sheetId="16" r:id="rId5"/>
    <sheet name="RASHODI 2024. 3.razina" sheetId="18" r:id="rId6"/>
    <sheet name="RASHODI 2025. 3.razina" sheetId="19" r:id="rId7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2" i="16" l="1"/>
  <c r="T24" i="16"/>
  <c r="T20" i="16"/>
  <c r="S42" i="16"/>
  <c r="S38" i="16"/>
  <c r="S24" i="16"/>
  <c r="S19" i="16" s="1"/>
  <c r="S20" i="16"/>
  <c r="H46" i="19"/>
  <c r="H44" i="19" s="1"/>
  <c r="H43" i="19" s="1"/>
  <c r="G46" i="19"/>
  <c r="G44" i="19" s="1"/>
  <c r="G43" i="19" s="1"/>
  <c r="F44" i="19"/>
  <c r="F43" i="19" s="1"/>
  <c r="C44" i="19"/>
  <c r="C43" i="19" s="1"/>
  <c r="E43" i="19"/>
  <c r="D42" i="19"/>
  <c r="H41" i="19"/>
  <c r="G41" i="19"/>
  <c r="F41" i="19"/>
  <c r="D41" i="19"/>
  <c r="C41" i="19"/>
  <c r="D40" i="19"/>
  <c r="C35" i="19"/>
  <c r="F39" i="19"/>
  <c r="F36" i="19"/>
  <c r="H35" i="19"/>
  <c r="G35" i="19"/>
  <c r="H31" i="19"/>
  <c r="G31" i="19"/>
  <c r="F31" i="19"/>
  <c r="C31" i="19"/>
  <c r="E30" i="19"/>
  <c r="D24" i="19"/>
  <c r="E25" i="19"/>
  <c r="E24" i="19" s="1"/>
  <c r="G25" i="19"/>
  <c r="G24" i="19" s="1"/>
  <c r="C25" i="19"/>
  <c r="C24" i="19" s="1"/>
  <c r="H24" i="19"/>
  <c r="F24" i="19"/>
  <c r="G22" i="19"/>
  <c r="E22" i="19"/>
  <c r="C22" i="19"/>
  <c r="H17" i="19"/>
  <c r="G17" i="19"/>
  <c r="F17" i="19"/>
  <c r="D17" i="19"/>
  <c r="C17" i="19"/>
  <c r="D15" i="19"/>
  <c r="H13" i="19"/>
  <c r="G13" i="19"/>
  <c r="F13" i="19"/>
  <c r="C17" i="18"/>
  <c r="H46" i="18"/>
  <c r="H44" i="18" s="1"/>
  <c r="H43" i="18" s="1"/>
  <c r="G46" i="18"/>
  <c r="G44" i="18" s="1"/>
  <c r="G43" i="18" s="1"/>
  <c r="F46" i="18"/>
  <c r="F44" i="18" s="1"/>
  <c r="F43" i="18" s="1"/>
  <c r="E43" i="18"/>
  <c r="D42" i="18"/>
  <c r="C42" i="18"/>
  <c r="C41" i="18" s="1"/>
  <c r="H41" i="18"/>
  <c r="G41" i="18"/>
  <c r="F41" i="18"/>
  <c r="D41" i="18"/>
  <c r="D40" i="18"/>
  <c r="C40" i="18"/>
  <c r="F39" i="18"/>
  <c r="H35" i="18"/>
  <c r="G35" i="18"/>
  <c r="H31" i="18"/>
  <c r="G31" i="18"/>
  <c r="F31" i="18"/>
  <c r="E30" i="18"/>
  <c r="D24" i="18"/>
  <c r="C25" i="18"/>
  <c r="C24" i="18" s="1"/>
  <c r="G25" i="18"/>
  <c r="G24" i="18" s="1"/>
  <c r="H24" i="18"/>
  <c r="F24" i="18"/>
  <c r="G22" i="18"/>
  <c r="E22" i="18"/>
  <c r="C22" i="18"/>
  <c r="H17" i="18"/>
  <c r="G17" i="18"/>
  <c r="F17" i="18"/>
  <c r="D17" i="18"/>
  <c r="D15" i="18"/>
  <c r="H13" i="18"/>
  <c r="G13" i="18"/>
  <c r="F13" i="18"/>
  <c r="B25" i="17"/>
  <c r="H68" i="17"/>
  <c r="G68" i="17"/>
  <c r="F68" i="17"/>
  <c r="C68" i="17"/>
  <c r="B68" i="17"/>
  <c r="D68" i="17"/>
  <c r="E68" i="17"/>
  <c r="H46" i="17"/>
  <c r="G46" i="17"/>
  <c r="B46" i="17"/>
  <c r="F46" i="17"/>
  <c r="C46" i="17"/>
  <c r="D46" i="17"/>
  <c r="E46" i="17"/>
  <c r="H25" i="17"/>
  <c r="G25" i="17"/>
  <c r="F25" i="17"/>
  <c r="B23" i="17"/>
  <c r="F19" i="17"/>
  <c r="C25" i="17"/>
  <c r="D25" i="17"/>
  <c r="E11" i="17"/>
  <c r="E10" i="17"/>
  <c r="E25" i="17" s="1"/>
  <c r="T41" i="16"/>
  <c r="T38" i="16" s="1"/>
  <c r="T37" i="16" s="1"/>
  <c r="D54" i="16"/>
  <c r="C54" i="16"/>
  <c r="P51" i="16"/>
  <c r="P50" i="16" s="1"/>
  <c r="O51" i="16"/>
  <c r="O50" i="16" s="1"/>
  <c r="L51" i="16"/>
  <c r="L50" i="16" s="1"/>
  <c r="D53" i="16"/>
  <c r="C53" i="16"/>
  <c r="F52" i="16"/>
  <c r="F51" i="16" s="1"/>
  <c r="F50" i="16" s="1"/>
  <c r="D52" i="16"/>
  <c r="D51" i="16" s="1"/>
  <c r="D50" i="16" s="1"/>
  <c r="C52" i="16"/>
  <c r="R51" i="16"/>
  <c r="R50" i="16" s="1"/>
  <c r="Q51" i="16"/>
  <c r="Q50" i="16" s="1"/>
  <c r="E51" i="16"/>
  <c r="E50" i="16" s="1"/>
  <c r="T50" i="16"/>
  <c r="S50" i="16"/>
  <c r="N50" i="16"/>
  <c r="M50" i="16"/>
  <c r="M35" i="16" s="1"/>
  <c r="K50" i="16"/>
  <c r="J50" i="16"/>
  <c r="I50" i="16"/>
  <c r="I35" i="16" s="1"/>
  <c r="H50" i="16"/>
  <c r="G50" i="16"/>
  <c r="C50" i="16"/>
  <c r="F49" i="16"/>
  <c r="D49" i="16"/>
  <c r="D48" i="16" s="1"/>
  <c r="C49" i="16"/>
  <c r="S37" i="16"/>
  <c r="R48" i="16"/>
  <c r="Q48" i="16"/>
  <c r="P48" i="16"/>
  <c r="O48" i="16"/>
  <c r="L48" i="16"/>
  <c r="F48" i="16"/>
  <c r="E48" i="16"/>
  <c r="C48" i="16"/>
  <c r="D47" i="16"/>
  <c r="C47" i="16"/>
  <c r="D46" i="16"/>
  <c r="C46" i="16"/>
  <c r="E42" i="16"/>
  <c r="D45" i="16"/>
  <c r="C45" i="16"/>
  <c r="G44" i="16"/>
  <c r="G42" i="16" s="1"/>
  <c r="G37" i="16" s="1"/>
  <c r="D44" i="16"/>
  <c r="C44" i="16"/>
  <c r="F42" i="16"/>
  <c r="D43" i="16"/>
  <c r="C43" i="16"/>
  <c r="R42" i="16"/>
  <c r="R37" i="16" s="1"/>
  <c r="Q42" i="16"/>
  <c r="P42" i="16"/>
  <c r="O42" i="16"/>
  <c r="D42" i="16"/>
  <c r="D41" i="16"/>
  <c r="C41" i="16"/>
  <c r="F38" i="16"/>
  <c r="D40" i="16"/>
  <c r="C40" i="16"/>
  <c r="C38" i="16" s="1"/>
  <c r="D39" i="16"/>
  <c r="C39" i="16"/>
  <c r="R38" i="16"/>
  <c r="Q38" i="16"/>
  <c r="Q37" i="16" s="1"/>
  <c r="Q35" i="16" s="1"/>
  <c r="P38" i="16"/>
  <c r="O38" i="16"/>
  <c r="L38" i="16"/>
  <c r="O37" i="16"/>
  <c r="N37" i="16"/>
  <c r="M37" i="16"/>
  <c r="K37" i="16"/>
  <c r="J37" i="16"/>
  <c r="I37" i="16"/>
  <c r="H37" i="16"/>
  <c r="N35" i="16"/>
  <c r="K35" i="16"/>
  <c r="J35" i="16"/>
  <c r="H35" i="16"/>
  <c r="F31" i="16"/>
  <c r="D34" i="16"/>
  <c r="D32" i="16" s="1"/>
  <c r="D31" i="16" s="1"/>
  <c r="C34" i="16"/>
  <c r="I32" i="16"/>
  <c r="I31" i="16" s="1"/>
  <c r="E32" i="16"/>
  <c r="E31" i="16" s="1"/>
  <c r="D33" i="16"/>
  <c r="C33" i="16"/>
  <c r="S31" i="16"/>
  <c r="R32" i="16"/>
  <c r="R31" i="16" s="1"/>
  <c r="Q32" i="16"/>
  <c r="Q31" i="16" s="1"/>
  <c r="O32" i="16"/>
  <c r="C32" i="16"/>
  <c r="C31" i="16" s="1"/>
  <c r="T31" i="16"/>
  <c r="P31" i="16"/>
  <c r="O31" i="16"/>
  <c r="O17" i="16" s="1"/>
  <c r="N31" i="16"/>
  <c r="M31" i="16"/>
  <c r="L31" i="16"/>
  <c r="K31" i="16"/>
  <c r="J31" i="16"/>
  <c r="H31" i="16"/>
  <c r="G31" i="16"/>
  <c r="D30" i="16"/>
  <c r="C30" i="16"/>
  <c r="R29" i="16"/>
  <c r="Q29" i="16"/>
  <c r="O29" i="16"/>
  <c r="I29" i="16"/>
  <c r="E29" i="16"/>
  <c r="D29" i="16"/>
  <c r="C29" i="16"/>
  <c r="J28" i="16"/>
  <c r="E28" i="16"/>
  <c r="D28" i="16"/>
  <c r="C28" i="16"/>
  <c r="J27" i="16"/>
  <c r="J24" i="16" s="1"/>
  <c r="J19" i="16" s="1"/>
  <c r="J17" i="16" s="1"/>
  <c r="J15" i="16" s="1"/>
  <c r="E27" i="16"/>
  <c r="D27" i="16"/>
  <c r="C27" i="16"/>
  <c r="J26" i="16"/>
  <c r="I24" i="16"/>
  <c r="E26" i="16"/>
  <c r="E24" i="16" s="1"/>
  <c r="D26" i="16"/>
  <c r="C26" i="16"/>
  <c r="J25" i="16"/>
  <c r="E25" i="16"/>
  <c r="D25" i="16"/>
  <c r="C25" i="16"/>
  <c r="C24" i="16" s="1"/>
  <c r="R24" i="16"/>
  <c r="Q24" i="16"/>
  <c r="P24" i="16"/>
  <c r="P19" i="16" s="1"/>
  <c r="P17" i="16" s="1"/>
  <c r="O24" i="16"/>
  <c r="N24" i="16"/>
  <c r="N19" i="16" s="1"/>
  <c r="N17" i="16" s="1"/>
  <c r="N15" i="16" s="1"/>
  <c r="M24" i="16"/>
  <c r="M19" i="16" s="1"/>
  <c r="M17" i="16" s="1"/>
  <c r="M15" i="16" s="1"/>
  <c r="L24" i="16"/>
  <c r="L19" i="16" s="1"/>
  <c r="L17" i="16" s="1"/>
  <c r="K24" i="16"/>
  <c r="H24" i="16"/>
  <c r="G24" i="16"/>
  <c r="F24" i="16"/>
  <c r="D24" i="16"/>
  <c r="E23" i="16"/>
  <c r="D23" i="16"/>
  <c r="C23" i="16"/>
  <c r="F22" i="16"/>
  <c r="F20" i="16" s="1"/>
  <c r="F19" i="16" s="1"/>
  <c r="E22" i="16"/>
  <c r="D22" i="16"/>
  <c r="C22" i="16"/>
  <c r="E21" i="16"/>
  <c r="E20" i="16" s="1"/>
  <c r="D21" i="16"/>
  <c r="D20" i="16" s="1"/>
  <c r="C21" i="16"/>
  <c r="R20" i="16"/>
  <c r="Q20" i="16"/>
  <c r="P20" i="16"/>
  <c r="O20" i="16"/>
  <c r="N20" i="16"/>
  <c r="M20" i="16"/>
  <c r="L20" i="16"/>
  <c r="K20" i="16"/>
  <c r="K19" i="16" s="1"/>
  <c r="K17" i="16" s="1"/>
  <c r="K15" i="16" s="1"/>
  <c r="J20" i="16"/>
  <c r="I20" i="16"/>
  <c r="H20" i="16"/>
  <c r="G20" i="16"/>
  <c r="T19" i="16"/>
  <c r="R19" i="16"/>
  <c r="R17" i="16" s="1"/>
  <c r="O19" i="16"/>
  <c r="H19" i="16"/>
  <c r="H17" i="16" s="1"/>
  <c r="H15" i="16" s="1"/>
  <c r="G19" i="16"/>
  <c r="G17" i="16"/>
  <c r="F17" i="16" l="1"/>
  <c r="C20" i="16"/>
  <c r="C19" i="16" s="1"/>
  <c r="C17" i="16" s="1"/>
  <c r="C15" i="16" s="1"/>
  <c r="R35" i="16"/>
  <c r="R15" i="16" s="1"/>
  <c r="G35" i="16"/>
  <c r="G15" i="16" s="1"/>
  <c r="C42" i="16"/>
  <c r="C37" i="16" s="1"/>
  <c r="C35" i="16" s="1"/>
  <c r="F35" i="19"/>
  <c r="E19" i="16"/>
  <c r="O35" i="16"/>
  <c r="O15" i="16" s="1"/>
  <c r="D38" i="16"/>
  <c r="D37" i="16" s="1"/>
  <c r="D35" i="16" s="1"/>
  <c r="Q19" i="16"/>
  <c r="Q17" i="16" s="1"/>
  <c r="Q15" i="16" s="1"/>
  <c r="E38" i="16"/>
  <c r="E37" i="16" s="1"/>
  <c r="E35" i="16" s="1"/>
  <c r="L42" i="16"/>
  <c r="L37" i="16" s="1"/>
  <c r="L35" i="16" s="1"/>
  <c r="L15" i="16" s="1"/>
  <c r="D19" i="16"/>
  <c r="D17" i="16" s="1"/>
  <c r="P37" i="16"/>
  <c r="P35" i="16" s="1"/>
  <c r="P15" i="16" s="1"/>
  <c r="T35" i="16"/>
  <c r="T15" i="16" s="1"/>
  <c r="T17" i="16"/>
  <c r="S35" i="16"/>
  <c r="S17" i="16"/>
  <c r="H12" i="19"/>
  <c r="H10" i="19" s="1"/>
  <c r="I19" i="16"/>
  <c r="I17" i="16" s="1"/>
  <c r="I15" i="16" s="1"/>
  <c r="F37" i="16"/>
  <c r="F35" i="16" s="1"/>
  <c r="H30" i="19"/>
  <c r="H28" i="19" s="1"/>
  <c r="F30" i="19"/>
  <c r="F28" i="19" s="1"/>
  <c r="C12" i="19"/>
  <c r="C10" i="19" s="1"/>
  <c r="D31" i="19"/>
  <c r="D13" i="19"/>
  <c r="D12" i="19" s="1"/>
  <c r="D10" i="19" s="1"/>
  <c r="G30" i="19"/>
  <c r="G28" i="19" s="1"/>
  <c r="F12" i="19"/>
  <c r="F10" i="19" s="1"/>
  <c r="D44" i="19"/>
  <c r="D43" i="19" s="1"/>
  <c r="E13" i="19"/>
  <c r="G12" i="19"/>
  <c r="G10" i="19" s="1"/>
  <c r="D35" i="19"/>
  <c r="E28" i="19"/>
  <c r="E17" i="19"/>
  <c r="E13" i="18"/>
  <c r="C30" i="19"/>
  <c r="C28" i="19" s="1"/>
  <c r="F12" i="18"/>
  <c r="F10" i="18" s="1"/>
  <c r="E17" i="18"/>
  <c r="D44" i="18"/>
  <c r="D43" i="18" s="1"/>
  <c r="E25" i="18"/>
  <c r="E24" i="18" s="1"/>
  <c r="C12" i="18"/>
  <c r="C10" i="18" s="1"/>
  <c r="C44" i="18"/>
  <c r="C43" i="18" s="1"/>
  <c r="D13" i="18"/>
  <c r="D12" i="18" s="1"/>
  <c r="D10" i="18" s="1"/>
  <c r="D31" i="18"/>
  <c r="E28" i="18"/>
  <c r="G30" i="18"/>
  <c r="G28" i="18" s="1"/>
  <c r="C35" i="18"/>
  <c r="H30" i="18"/>
  <c r="H28" i="18" s="1"/>
  <c r="F35" i="18"/>
  <c r="F30" i="18" s="1"/>
  <c r="F28" i="18" s="1"/>
  <c r="H12" i="18"/>
  <c r="H10" i="18" s="1"/>
  <c r="G12" i="18"/>
  <c r="G10" i="18" s="1"/>
  <c r="C31" i="18"/>
  <c r="D35" i="18"/>
  <c r="B26" i="17"/>
  <c r="B69" i="17"/>
  <c r="B47" i="17"/>
  <c r="E17" i="16"/>
  <c r="C38" i="15"/>
  <c r="D38" i="15"/>
  <c r="B38" i="15"/>
  <c r="C41" i="15"/>
  <c r="D41" i="15"/>
  <c r="B41" i="15"/>
  <c r="C46" i="15"/>
  <c r="D46" i="15"/>
  <c r="B46" i="15"/>
  <c r="C50" i="15"/>
  <c r="D50" i="15"/>
  <c r="B50" i="15"/>
  <c r="B15" i="15"/>
  <c r="C15" i="15"/>
  <c r="H8" i="13"/>
  <c r="I8" i="13"/>
  <c r="L16" i="3"/>
  <c r="M16" i="3"/>
  <c r="K16" i="3"/>
  <c r="J16" i="3"/>
  <c r="I24" i="3"/>
  <c r="I28" i="3"/>
  <c r="I23" i="3"/>
  <c r="I13" i="3"/>
  <c r="I14" i="3"/>
  <c r="I15" i="3"/>
  <c r="I12" i="3"/>
  <c r="H27" i="3"/>
  <c r="I27" i="3" s="1"/>
  <c r="H26" i="3"/>
  <c r="H29" i="3" s="1"/>
  <c r="I29" i="3" s="1"/>
  <c r="H16" i="3"/>
  <c r="I16" i="3" s="1"/>
  <c r="G24" i="3"/>
  <c r="G23" i="3"/>
  <c r="G13" i="3"/>
  <c r="G14" i="3"/>
  <c r="G15" i="3"/>
  <c r="G16" i="3"/>
  <c r="G12" i="3"/>
  <c r="K28" i="3"/>
  <c r="J28" i="3"/>
  <c r="G28" i="3"/>
  <c r="K27" i="3"/>
  <c r="J27" i="3"/>
  <c r="F27" i="3"/>
  <c r="K26" i="3"/>
  <c r="J26" i="3"/>
  <c r="F26" i="3"/>
  <c r="G26" i="3" s="1"/>
  <c r="E15" i="16" l="1"/>
  <c r="B56" i="15"/>
  <c r="D15" i="16"/>
  <c r="F15" i="16"/>
  <c r="C56" i="15"/>
  <c r="D56" i="15"/>
  <c r="S15" i="16"/>
  <c r="H8" i="19"/>
  <c r="D30" i="19"/>
  <c r="D28" i="19" s="1"/>
  <c r="F8" i="19"/>
  <c r="D8" i="19"/>
  <c r="E12" i="19"/>
  <c r="E10" i="19" s="1"/>
  <c r="E8" i="19" s="1"/>
  <c r="C8" i="19"/>
  <c r="G8" i="19"/>
  <c r="E12" i="18"/>
  <c r="E10" i="18" s="1"/>
  <c r="E8" i="18" s="1"/>
  <c r="G8" i="18"/>
  <c r="D30" i="18"/>
  <c r="D28" i="18" s="1"/>
  <c r="D8" i="18" s="1"/>
  <c r="H8" i="18"/>
  <c r="C30" i="18"/>
  <c r="C28" i="18" s="1"/>
  <c r="C8" i="18" s="1"/>
  <c r="F8" i="18"/>
  <c r="I26" i="3"/>
  <c r="J29" i="3"/>
  <c r="K29" i="3"/>
  <c r="F29" i="3"/>
  <c r="G29" i="3" s="1"/>
  <c r="G27" i="3"/>
  <c r="D15" i="15"/>
  <c r="G8" i="13" l="1"/>
  <c r="E14" i="13"/>
  <c r="E13" i="13"/>
  <c r="E12" i="13"/>
  <c r="E11" i="13"/>
  <c r="E10" i="13"/>
  <c r="E9" i="13"/>
  <c r="C14" i="13"/>
  <c r="C13" i="13"/>
  <c r="C12" i="13"/>
  <c r="C11" i="13"/>
  <c r="C10" i="13"/>
  <c r="C9" i="13"/>
  <c r="C8" i="13" l="1"/>
  <c r="E8" i="13"/>
  <c r="B8" i="13" l="1"/>
  <c r="D8" i="13"/>
  <c r="F8" i="13"/>
</calcChain>
</file>

<file path=xl/sharedStrings.xml><?xml version="1.0" encoding="utf-8"?>
<sst xmlns="http://schemas.openxmlformats.org/spreadsheetml/2006/main" count="323" uniqueCount="144">
  <si>
    <t>Šifra</t>
  </si>
  <si>
    <t>Naziv</t>
  </si>
  <si>
    <t>Prihodi od nefinancijske imovine i nadoknade šteta s osnova osiguranja</t>
  </si>
  <si>
    <t>Namjenski primici od zaduživanja</t>
  </si>
  <si>
    <t>PROGRAM: Javne potrebe u školstvu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</si>
  <si>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</si>
  <si>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</si>
  <si>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</si>
  <si>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</si>
  <si>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</si>
  <si>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</si>
  <si>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</si>
  <si>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</si>
  <si>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 rashodi</t>
  </si>
  <si>
    <t>Ostali financijski rashodi</t>
  </si>
  <si>
    <t>Izvor prihoda i primitaka</t>
  </si>
  <si>
    <t>Oznaka                           rač. iz                                      računskog                                         plana</t>
  </si>
  <si>
    <t>Prihodi od prodaje  nefinancijske imovine i nadoknade šteta s osnova osiguranja</t>
  </si>
  <si>
    <t>Ukupno (po izvorima)</t>
  </si>
  <si>
    <t>2023.</t>
  </si>
  <si>
    <t>Ukupno prihodi i primici za 2023.</t>
  </si>
  <si>
    <t>OPĆI DIO</t>
  </si>
  <si>
    <t>PRIHODI POSLOVANJA</t>
  </si>
  <si>
    <t>RASHODI ZA NABAVU NEFINANCIJSKE IMOVINE</t>
  </si>
  <si>
    <t>UKUPAN DONOS VIŠKA/MANJKA IZ PRETHODNE(IH) GODINE</t>
  </si>
  <si>
    <t>PRIMICI OD FINANCIJSKE IMOVINE I ZADUŽIVANJA</t>
  </si>
  <si>
    <t>Funkcijska klasifikacija: 0950</t>
  </si>
  <si>
    <t>Nematerijalna imovina</t>
  </si>
  <si>
    <t>Rashodi za nabavu proizvedene dugotrajne imovine</t>
  </si>
  <si>
    <t>Postrojenja i oprema</t>
  </si>
  <si>
    <t>PUČKO OTVORENO UČILIŠTE                                         Nova ulica 1 Donja Stubica</t>
  </si>
  <si>
    <t>PROGRAM: Promicanje kulture - POU</t>
  </si>
  <si>
    <t>Funkcijska klasifikacija: 0820</t>
  </si>
  <si>
    <t>A1026 01 AKTIVNOST: Redovna djelatnost knjižnice</t>
  </si>
  <si>
    <t>Naknade troškova osobama izvan radnog odnosa</t>
  </si>
  <si>
    <t>Knjige, umjetnička djela i ostale izložbene vrijednosti</t>
  </si>
  <si>
    <t>Ostali nespomenuti rashodi poslovanja</t>
  </si>
  <si>
    <t>K1026 01 KAPITALNI PROJEKT: Opremanje knjižnice i čitaonice</t>
  </si>
  <si>
    <t>A1025 01 AKTIVNOST: Redovan rad pučkog otvorenog učilišta</t>
  </si>
  <si>
    <t>K1025 01 KAPITALNI PROJEKT: Opremanje pučkog otvorenog učilišta</t>
  </si>
  <si>
    <t>2024.</t>
  </si>
  <si>
    <t>Ukupno prihodi i primici za 2024.</t>
  </si>
  <si>
    <t>Opći prihodi i primici izvor 11</t>
  </si>
  <si>
    <t>Vlastiti prihodi        izvor 31</t>
  </si>
  <si>
    <t>Prihodi za posebne namjene izvor 43</t>
  </si>
  <si>
    <t>Pomoći izvor 52</t>
  </si>
  <si>
    <t>Donacije            (poklon knjiga)                     izvor 61</t>
  </si>
  <si>
    <t>PROJEKCIJE PLANA ZA 2024.</t>
  </si>
  <si>
    <t>Izvor 9711 višak prihoda od nefinancijske imovine - izvor 11</t>
  </si>
  <si>
    <t>Izvor 9611 višak prihoda poslovanja - izvor 11</t>
  </si>
  <si>
    <t>Izvor 9631 višak prihoda poslovanja - izvor 31</t>
  </si>
  <si>
    <t>Izvor 9731 višak prihoda od nefinancijske imovine - izvor 31</t>
  </si>
  <si>
    <t>Izvor 9643 višak prihoda  poslovanja - izvor 43</t>
  </si>
  <si>
    <t>Izvor 9743 višak prihoda  od nefinancijske imovine - izvor 43</t>
  </si>
  <si>
    <t>Izvršenje Financijskog plana za 2021. godinu</t>
  </si>
  <si>
    <t>Financijski plan za 2023. godinu</t>
  </si>
  <si>
    <t>Tekući  financijski plan za 2022. godinu</t>
  </si>
  <si>
    <t>A) RAČUN PRIHODA I RASHODA</t>
  </si>
  <si>
    <t>Pučko otvoreno učilište Donja Stubica</t>
  </si>
  <si>
    <t>Nova ulica 1, Donja Stubica</t>
  </si>
  <si>
    <t>PLAN PRIHODA I PRIMITAKA</t>
  </si>
  <si>
    <t xml:space="preserve"> OPĆI PRIHODI - IZVOR 11</t>
  </si>
  <si>
    <t xml:space="preserve"> VLASTITI PRIHODI - IZVOR 31</t>
  </si>
  <si>
    <t>PRIHODI ZA POSEBNE NAMJENE - IZVOR 43</t>
  </si>
  <si>
    <t>POMOĆI - IZVOR 52</t>
  </si>
  <si>
    <t>DONACIJE - IZVOR  61</t>
  </si>
  <si>
    <t>Klasa:</t>
  </si>
  <si>
    <t>Urbroj:</t>
  </si>
  <si>
    <t>Na temelju članka 37. Zakona o ustanovama (NN NN 76/93, 29/97, 47/99, 35/08, 127/19) i članka 19. Statuta Pučkog otvorenog učilišta Donja Stubica ravnateljica Pučkog otvorenog učilišta Donja Stubica donosi:</t>
  </si>
  <si>
    <t>II. POSEBNI DIO</t>
  </si>
  <si>
    <t>2025.</t>
  </si>
  <si>
    <t>PROJEKCIJE PLANA ZA 2025.</t>
  </si>
  <si>
    <t>Izvršenje 2021.</t>
  </si>
  <si>
    <t>Projekcija 
za 2024.</t>
  </si>
  <si>
    <t>Projekcija 
za 2025.</t>
  </si>
  <si>
    <t>PRORAČUNSKI KORISNIK: RKP 51685</t>
  </si>
  <si>
    <t>BROJČANA OZNAKA I NAZIV</t>
  </si>
  <si>
    <t>UKUPNI RASHODI</t>
  </si>
  <si>
    <t>08 Rekreacija, kultura i religija</t>
  </si>
  <si>
    <t>082 Služba kulture</t>
  </si>
  <si>
    <t>09 Obrazovanje</t>
  </si>
  <si>
    <t>095 Obrazovanje koje se ne može definirati po stupnju</t>
  </si>
  <si>
    <t>0950 Obrazovanje koje se ne može definirati po stupnju</t>
  </si>
  <si>
    <t>0820 Služba kulture</t>
  </si>
  <si>
    <t>HRK</t>
  </si>
  <si>
    <t>EUR</t>
  </si>
  <si>
    <t>PLAN PRORAČUNA PO IZVORIMA FINANCIRANJA - PRIHODI</t>
  </si>
  <si>
    <r>
      <t xml:space="preserve">Izvor financiranja: </t>
    </r>
    <r>
      <rPr>
        <b/>
        <i/>
        <sz val="10"/>
        <color indexed="8"/>
        <rFont val="Arial"/>
        <family val="2"/>
        <charset val="238"/>
      </rPr>
      <t>11</t>
    </r>
    <r>
      <rPr>
        <b/>
        <sz val="10"/>
        <color indexed="8"/>
        <rFont val="Arial"/>
        <family val="2"/>
        <charset val="238"/>
      </rPr>
      <t>, Opći prihodi i primici</t>
    </r>
  </si>
  <si>
    <r>
      <t xml:space="preserve">Izvor financiranja: </t>
    </r>
    <r>
      <rPr>
        <b/>
        <i/>
        <sz val="10"/>
        <color indexed="8"/>
        <rFont val="Arial"/>
        <family val="2"/>
        <charset val="238"/>
      </rPr>
      <t>31</t>
    </r>
    <r>
      <rPr>
        <b/>
        <sz val="10"/>
        <color indexed="8"/>
        <rFont val="Arial"/>
        <family val="2"/>
        <charset val="238"/>
      </rPr>
      <t>, Vlastiti prihodi</t>
    </r>
  </si>
  <si>
    <r>
      <t xml:space="preserve">Izvor financiranja: </t>
    </r>
    <r>
      <rPr>
        <b/>
        <i/>
        <sz val="10"/>
        <color indexed="8"/>
        <rFont val="Arial"/>
        <family val="2"/>
        <charset val="238"/>
      </rPr>
      <t>43</t>
    </r>
    <r>
      <rPr>
        <b/>
        <sz val="10"/>
        <color indexed="8"/>
        <rFont val="Arial"/>
        <family val="2"/>
        <charset val="238"/>
      </rPr>
      <t>, Ostali prihodi za posebne namjene</t>
    </r>
  </si>
  <si>
    <r>
      <t xml:space="preserve">Izvor financiranja: </t>
    </r>
    <r>
      <rPr>
        <b/>
        <i/>
        <sz val="10"/>
        <color indexed="8"/>
        <rFont val="Arial"/>
        <family val="2"/>
        <charset val="238"/>
      </rPr>
      <t>52</t>
    </r>
    <r>
      <rPr>
        <b/>
        <sz val="10"/>
        <color indexed="8"/>
        <rFont val="Arial"/>
        <family val="2"/>
        <charset val="238"/>
      </rPr>
      <t>, Ostale pomoći</t>
    </r>
  </si>
  <si>
    <r>
      <t xml:space="preserve">Izvor financiranja: </t>
    </r>
    <r>
      <rPr>
        <b/>
        <i/>
        <sz val="10"/>
        <color indexed="8"/>
        <rFont val="Arial"/>
        <family val="2"/>
        <charset val="238"/>
      </rPr>
      <t>522</t>
    </r>
    <r>
      <rPr>
        <b/>
        <sz val="10"/>
        <color indexed="8"/>
        <rFont val="Arial"/>
        <family val="2"/>
        <charset val="238"/>
      </rPr>
      <t>, Pomoći EU</t>
    </r>
  </si>
  <si>
    <r>
      <t xml:space="preserve">Izvor financiranja: </t>
    </r>
    <r>
      <rPr>
        <b/>
        <i/>
        <sz val="10"/>
        <color indexed="8"/>
        <rFont val="Arial"/>
        <family val="2"/>
        <charset val="238"/>
      </rPr>
      <t>524</t>
    </r>
    <r>
      <rPr>
        <b/>
        <sz val="10"/>
        <color indexed="8"/>
        <rFont val="Arial"/>
        <family val="2"/>
        <charset val="238"/>
      </rPr>
      <t>, Pomoći iz državnog proračuna-fiskalno izravnanje</t>
    </r>
  </si>
  <si>
    <r>
      <t xml:space="preserve">Izvor financiranja: </t>
    </r>
    <r>
      <rPr>
        <b/>
        <i/>
        <sz val="10"/>
        <color indexed="8"/>
        <rFont val="Arial"/>
        <family val="2"/>
        <charset val="238"/>
      </rPr>
      <t>61</t>
    </r>
    <r>
      <rPr>
        <b/>
        <sz val="10"/>
        <color indexed="8"/>
        <rFont val="Arial"/>
        <family val="2"/>
        <charset val="238"/>
      </rPr>
      <t>, Donacije</t>
    </r>
  </si>
  <si>
    <r>
      <t xml:space="preserve">Izvor financiranja: </t>
    </r>
    <r>
      <rPr>
        <b/>
        <i/>
        <sz val="10"/>
        <color indexed="8"/>
        <rFont val="Arial"/>
        <family val="2"/>
        <charset val="238"/>
      </rPr>
      <t>71</t>
    </r>
    <r>
      <rPr>
        <b/>
        <sz val="10"/>
        <color indexed="8"/>
        <rFont val="Arial"/>
        <family val="2"/>
        <charset val="238"/>
      </rPr>
      <t>, Prihodi od prodaje ili zamjene nefinancijske imovine i naknade s naslova osiguranja</t>
    </r>
  </si>
  <si>
    <r>
      <t xml:space="preserve">Izvor financiranja: </t>
    </r>
    <r>
      <rPr>
        <b/>
        <i/>
        <sz val="10"/>
        <color indexed="8"/>
        <rFont val="Arial"/>
        <family val="2"/>
        <charset val="238"/>
      </rPr>
      <t>81</t>
    </r>
    <r>
      <rPr>
        <b/>
        <sz val="10"/>
        <color indexed="8"/>
        <rFont val="Arial"/>
        <family val="2"/>
        <charset val="238"/>
      </rPr>
      <t>, Namjenski primici od zaduživanja</t>
    </r>
  </si>
  <si>
    <r>
      <t xml:space="preserve">Izvor financiranja: </t>
    </r>
    <r>
      <rPr>
        <b/>
        <i/>
        <sz val="10"/>
        <color indexed="8"/>
        <rFont val="Arial"/>
        <family val="2"/>
        <charset val="238"/>
      </rPr>
      <t>9, Višak prihoda</t>
    </r>
  </si>
  <si>
    <t>PLAN PRORAČUNA PO IZVORIMA FINANCIRANJA - RASHODI</t>
  </si>
  <si>
    <t>SAŽETAK</t>
  </si>
  <si>
    <t>IZVRŠENJE 2021.</t>
  </si>
  <si>
    <t>TEKUĆI PLAN 2022.</t>
  </si>
  <si>
    <t>PRORAČUN ZA 2023.</t>
  </si>
  <si>
    <t>A. RAČUN PRIHODA I RASHODA</t>
  </si>
  <si>
    <t>PRIHODI OD NEFINANCIJSKE IMOVINE</t>
  </si>
  <si>
    <t>RASHODI POSLOVANJA</t>
  </si>
  <si>
    <t>RASHODI ZA NEFINANCIJSKU IMOVINU</t>
  </si>
  <si>
    <t>RAZLIKA -  VIŠAK/MANJAK</t>
  </si>
  <si>
    <t>B. RAČUN ZADUŽIVANJA/FINANCIRANJA</t>
  </si>
  <si>
    <t>IZDACI ZA FINANCIJSKU IMOVINU I OTPLATU ZAJMOVA</t>
  </si>
  <si>
    <t>NETO ZADUŽIVANJE/FINANCIRANJE</t>
  </si>
  <si>
    <t>C. RASPOLOŽIVA SREDSTVA IZ PRETHODNE GODINE</t>
  </si>
  <si>
    <t>VLASTITI IZVORI</t>
  </si>
  <si>
    <t>DIO VIŠKA IZ PRETHODNE GODINE KOJI ĆE SE RASPOREDITI U RAZDOBLJU 2023-2025.</t>
  </si>
  <si>
    <t>PRIHODI UKUPNO:</t>
  </si>
  <si>
    <t>RASHODI UKUPNO:</t>
  </si>
  <si>
    <t>VIŠAK</t>
  </si>
  <si>
    <t>REZULTAT</t>
  </si>
  <si>
    <t>Ukupno prihodi i primici za 2025.</t>
  </si>
  <si>
    <t>FINANCIJSKI</t>
  </si>
  <si>
    <t>PLAN ZA 2023.</t>
  </si>
  <si>
    <t>PROJEKCIJA ZA 2024.</t>
  </si>
  <si>
    <t>PROJEKCIJA ZA 2025.</t>
  </si>
  <si>
    <t>VRSTA IZVORA FINANCIRANJA</t>
  </si>
  <si>
    <t>Financijski rashodi</t>
  </si>
  <si>
    <t>UKUPNO RASHODI</t>
  </si>
  <si>
    <t>PROJEKCIJA PRORAČUNA ZA 2024.</t>
  </si>
  <si>
    <t>PROJEKCIJA PRORAČUNA ZA 2025.</t>
  </si>
  <si>
    <t>Tekući plan za  2022.</t>
  </si>
  <si>
    <t>Financijski plan za 2023.</t>
  </si>
  <si>
    <t>UKUPNO</t>
  </si>
  <si>
    <t>400-02/22-01/01</t>
  </si>
  <si>
    <t>2113-02-22-02</t>
  </si>
  <si>
    <t xml:space="preserve">Financijski plan za 2023. - PUČKO OTVORENO UČILIŠTE DONJA STUBICA                                                                                                                                         </t>
  </si>
  <si>
    <t>I PROJEKCIJA PLANA ZA 2024. I 2025. GODINU</t>
  </si>
  <si>
    <t xml:space="preserve">Ravnateljica </t>
  </si>
  <si>
    <t>Manuela Frinčić, mag. bibl.</t>
  </si>
  <si>
    <t xml:space="preserve">         Financijski plan za 2023. - PUČKO OTVORENO UČILIŠTE DONJA STUBICA                                                                                                   </t>
  </si>
  <si>
    <t>I PROJEKCIJA PLANA ZA  2024. I 2025. GODINU</t>
  </si>
  <si>
    <t>Financijski plan za 2024. godinu</t>
  </si>
  <si>
    <t>PROJEKCIJA PLANA ZA 2024.</t>
  </si>
  <si>
    <t>PROJEKCIJA PLANA ZA 2025. GODINU</t>
  </si>
  <si>
    <t>Financijski plan za 2025. godinu</t>
  </si>
  <si>
    <t>Donja Stubica, 04. 10. 2022.</t>
  </si>
  <si>
    <t xml:space="preserve">RASHODI PREMA FUNKCIJSKOJ KLASIFIKACIJI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</si>
</sst>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n&quot;"/>
    <numFmt numFmtId="165" formatCode="[$€-2]\ #,##0.00"/>
  </numFmts>
  <fonts count="54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7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b/>
      <sz val="6.5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7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7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6"/>
      <color indexed="8"/>
      <name val="Calibri"/>
      <family val="2"/>
      <charset val="238"/>
      <scheme val="minor"/>
    </font>
    <font>
      <sz val="7"/>
      <color indexed="8"/>
      <name val="Calibri"/>
      <family val="2"/>
      <charset val="238"/>
      <scheme val="minor"/>
    </font>
    <font>
      <b/>
      <sz val="7"/>
      <color rgb="FF00000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5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i/>
      <sz val="9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4"/>
      <color indexed="8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5"/>
      <color indexed="8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wrapText="1"/>
    </xf>
    <xf numFmtId="0" fontId="6" fillId="2" borderId="0" xfId="0" applyFont="1" applyFill="1"/>
    <xf numFmtId="0" fontId="7" fillId="0" borderId="0" xfId="0" applyFont="1"/>
    <xf numFmtId="1" fontId="8" fillId="0" borderId="13" xfId="0" applyNumberFormat="1" applyFont="1" applyBorder="1" applyAlignment="1">
      <alignment horizontal="left" wrapText="1"/>
    </xf>
    <xf numFmtId="1" fontId="7" fillId="0" borderId="18" xfId="0" applyNumberFormat="1" applyFont="1" applyBorder="1" applyAlignment="1">
      <alignment horizontal="left" wrapText="1"/>
    </xf>
    <xf numFmtId="1" fontId="8" fillId="0" borderId="23" xfId="0" applyNumberFormat="1" applyFont="1" applyBorder="1" applyAlignment="1">
      <alignment horizontal="left" wrapText="1"/>
    </xf>
    <xf numFmtId="1" fontId="7" fillId="0" borderId="23" xfId="0" applyNumberFormat="1" applyFont="1" applyBorder="1" applyAlignment="1">
      <alignment horizontal="left" wrapText="1"/>
    </xf>
    <xf numFmtId="0" fontId="2" fillId="0" borderId="0" xfId="0" applyFont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0" fontId="12" fillId="0" borderId="0" xfId="0" applyFont="1"/>
    <xf numFmtId="1" fontId="13" fillId="4" borderId="5" xfId="0" applyNumberFormat="1" applyFont="1" applyFill="1" applyBorder="1" applyAlignment="1">
      <alignment horizontal="right" vertical="top" wrapText="1"/>
    </xf>
    <xf numFmtId="1" fontId="13" fillId="4" borderId="9" xfId="0" applyNumberFormat="1" applyFont="1" applyFill="1" applyBorder="1" applyAlignment="1">
      <alignment horizontal="left" wrapText="1"/>
    </xf>
    <xf numFmtId="3" fontId="7" fillId="0" borderId="0" xfId="0" applyNumberFormat="1" applyFont="1"/>
    <xf numFmtId="3" fontId="7" fillId="0" borderId="0" xfId="0" applyNumberFormat="1" applyFont="1" applyAlignment="1">
      <alignment wrapText="1"/>
    </xf>
    <xf numFmtId="0" fontId="2" fillId="0" borderId="0" xfId="0" applyFont="1"/>
    <xf numFmtId="1" fontId="7" fillId="0" borderId="33" xfId="0" applyNumberFormat="1" applyFont="1" applyFill="1" applyBorder="1" applyAlignment="1">
      <alignment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0" xfId="0" applyFont="1"/>
    <xf numFmtId="0" fontId="7" fillId="0" borderId="39" xfId="0" applyFont="1" applyBorder="1" applyAlignment="1">
      <alignment horizontal="left" vertical="center"/>
    </xf>
    <xf numFmtId="1" fontId="8" fillId="0" borderId="28" xfId="0" applyNumberFormat="1" applyFont="1" applyFill="1" applyBorder="1" applyAlignment="1">
      <alignment horizontal="left" wrapText="1"/>
    </xf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8" fillId="11" borderId="2" xfId="0" applyNumberFormat="1" applyFont="1" applyFill="1" applyBorder="1" applyAlignment="1" applyProtection="1">
      <alignment horizontal="left" vertical="center" wrapText="1"/>
    </xf>
    <xf numFmtId="0" fontId="8" fillId="11" borderId="2" xfId="0" applyFont="1" applyFill="1" applyBorder="1" applyAlignment="1">
      <alignment horizontal="left" vertical="center"/>
    </xf>
    <xf numFmtId="0" fontId="7" fillId="11" borderId="2" xfId="0" applyNumberFormat="1" applyFont="1" applyFill="1" applyBorder="1" applyAlignment="1" applyProtection="1">
      <alignment horizontal="left" vertical="center" wrapText="1"/>
    </xf>
    <xf numFmtId="0" fontId="3" fillId="6" borderId="40" xfId="0" applyNumberFormat="1" applyFont="1" applyFill="1" applyBorder="1" applyAlignment="1" applyProtection="1">
      <alignment horizontal="center" vertical="center" wrapText="1"/>
    </xf>
    <xf numFmtId="0" fontId="3" fillId="6" borderId="2" xfId="0" applyNumberFormat="1" applyFont="1" applyFill="1" applyBorder="1" applyAlignment="1" applyProtection="1">
      <alignment horizontal="center" vertical="center" wrapText="1"/>
    </xf>
    <xf numFmtId="0" fontId="8" fillId="11" borderId="39" xfId="0" applyNumberFormat="1" applyFont="1" applyFill="1" applyBorder="1" applyAlignment="1" applyProtection="1">
      <alignment horizontal="left" vertical="center" wrapText="1"/>
    </xf>
    <xf numFmtId="0" fontId="2" fillId="0" borderId="0" xfId="0" applyFont="1"/>
    <xf numFmtId="164" fontId="7" fillId="0" borderId="2" xfId="0" applyNumberFormat="1" applyFont="1" applyBorder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5" fontId="7" fillId="0" borderId="2" xfId="0" applyNumberFormat="1" applyFont="1" applyBorder="1" applyAlignment="1">
      <alignment horizontal="right" vertical="center"/>
    </xf>
    <xf numFmtId="165" fontId="7" fillId="0" borderId="24" xfId="0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5" fontId="7" fillId="0" borderId="27" xfId="0" applyNumberFormat="1" applyFont="1" applyBorder="1"/>
    <xf numFmtId="165" fontId="8" fillId="0" borderId="14" xfId="0" applyNumberFormat="1" applyFont="1" applyBorder="1" applyAlignment="1">
      <alignment horizontal="center" vertical="center" wrapText="1"/>
    </xf>
    <xf numFmtId="165" fontId="8" fillId="0" borderId="15" xfId="0" applyNumberFormat="1" applyFont="1" applyBorder="1"/>
    <xf numFmtId="165" fontId="8" fillId="0" borderId="15" xfId="0" applyNumberFormat="1" applyFont="1" applyBorder="1" applyAlignment="1">
      <alignment horizontal="center" wrapText="1"/>
    </xf>
    <xf numFmtId="165" fontId="8" fillId="0" borderId="15" xfId="0" applyNumberFormat="1" applyFont="1" applyBorder="1" applyAlignment="1">
      <alignment horizontal="center" vertical="center" wrapText="1"/>
    </xf>
    <xf numFmtId="165" fontId="8" fillId="0" borderId="16" xfId="0" applyNumberFormat="1" applyFont="1" applyBorder="1" applyAlignment="1">
      <alignment horizontal="center" vertical="center" wrapText="1"/>
    </xf>
    <xf numFmtId="165" fontId="8" fillId="0" borderId="17" xfId="0" applyNumberFormat="1" applyFont="1" applyBorder="1" applyAlignment="1">
      <alignment horizontal="center" vertical="center" wrapText="1"/>
    </xf>
    <xf numFmtId="165" fontId="7" fillId="0" borderId="19" xfId="0" applyNumberFormat="1" applyFont="1" applyBorder="1" applyAlignment="1">
      <alignment horizontal="center" vertical="center" wrapText="1"/>
    </xf>
    <xf numFmtId="165" fontId="7" fillId="0" borderId="20" xfId="0" applyNumberFormat="1" applyFont="1" applyBorder="1"/>
    <xf numFmtId="165" fontId="7" fillId="0" borderId="20" xfId="0" applyNumberFormat="1" applyFont="1" applyBorder="1" applyAlignment="1">
      <alignment horizontal="center" wrapText="1"/>
    </xf>
    <xf numFmtId="165" fontId="7" fillId="0" borderId="20" xfId="0" applyNumberFormat="1" applyFont="1" applyBorder="1" applyAlignment="1">
      <alignment horizontal="center" vertical="center" wrapText="1"/>
    </xf>
    <xf numFmtId="165" fontId="7" fillId="0" borderId="21" xfId="0" applyNumberFormat="1" applyFont="1" applyBorder="1" applyAlignment="1">
      <alignment horizontal="center" vertical="center" wrapText="1"/>
    </xf>
    <xf numFmtId="165" fontId="7" fillId="0" borderId="22" xfId="0" applyNumberFormat="1" applyFont="1" applyBorder="1" applyAlignment="1">
      <alignment horizontal="center" vertical="center" wrapText="1"/>
    </xf>
    <xf numFmtId="165" fontId="7" fillId="0" borderId="0" xfId="0" applyNumberFormat="1" applyFont="1"/>
    <xf numFmtId="165" fontId="7" fillId="0" borderId="29" xfId="0" applyNumberFormat="1" applyFont="1" applyFill="1" applyBorder="1"/>
    <xf numFmtId="165" fontId="7" fillId="0" borderId="30" xfId="0" applyNumberFormat="1" applyFont="1" applyFill="1" applyBorder="1"/>
    <xf numFmtId="165" fontId="7" fillId="0" borderId="31" xfId="0" applyNumberFormat="1" applyFont="1" applyFill="1" applyBorder="1"/>
    <xf numFmtId="165" fontId="7" fillId="0" borderId="32" xfId="0" applyNumberFormat="1" applyFont="1" applyFill="1" applyBorder="1"/>
    <xf numFmtId="165" fontId="7" fillId="0" borderId="34" xfId="0" applyNumberFormat="1" applyFont="1" applyFill="1" applyBorder="1"/>
    <xf numFmtId="165" fontId="7" fillId="0" borderId="35" xfId="0" applyNumberFormat="1" applyFont="1" applyFill="1" applyBorder="1"/>
    <xf numFmtId="165" fontId="7" fillId="0" borderId="36" xfId="0" applyNumberFormat="1" applyFont="1" applyFill="1" applyBorder="1"/>
    <xf numFmtId="165" fontId="7" fillId="0" borderId="37" xfId="0" applyNumberFormat="1" applyFont="1" applyFill="1" applyBorder="1"/>
    <xf numFmtId="164" fontId="17" fillId="0" borderId="2" xfId="0" applyNumberFormat="1" applyFont="1" applyBorder="1" applyAlignment="1">
      <alignment horizontal="right"/>
    </xf>
    <xf numFmtId="165" fontId="17" fillId="0" borderId="2" xfId="0" applyNumberFormat="1" applyFont="1" applyBorder="1" applyAlignment="1">
      <alignment horizontal="right"/>
    </xf>
    <xf numFmtId="0" fontId="0" fillId="0" borderId="0" xfId="0" applyAlignment="1">
      <alignment vertical="top"/>
    </xf>
    <xf numFmtId="0" fontId="3" fillId="0" borderId="61" xfId="0" applyFont="1" applyBorder="1" applyAlignment="1">
      <alignment vertical="top" wrapText="1" readingOrder="1"/>
    </xf>
    <xf numFmtId="0" fontId="3" fillId="0" borderId="60" xfId="0" applyFont="1" applyBorder="1" applyAlignment="1">
      <alignment vertical="top" wrapText="1" readingOrder="1"/>
    </xf>
    <xf numFmtId="4" fontId="8" fillId="0" borderId="0" xfId="0" applyNumberFormat="1" applyFont="1" applyAlignment="1">
      <alignment vertical="top"/>
    </xf>
    <xf numFmtId="4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165" fontId="7" fillId="0" borderId="25" xfId="0" applyNumberFormat="1" applyFont="1" applyFill="1" applyBorder="1"/>
    <xf numFmtId="1" fontId="8" fillId="0" borderId="0" xfId="0" applyNumberFormat="1" applyFont="1" applyBorder="1" applyAlignment="1">
      <alignment wrapText="1"/>
    </xf>
    <xf numFmtId="165" fontId="8" fillId="0" borderId="0" xfId="0" applyNumberFormat="1" applyFont="1" applyBorder="1" applyAlignment="1">
      <alignment horizontal="center"/>
    </xf>
    <xf numFmtId="0" fontId="7" fillId="0" borderId="0" xfId="0" applyFont="1" applyBorder="1"/>
    <xf numFmtId="1" fontId="8" fillId="0" borderId="38" xfId="0" applyNumberFormat="1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/>
    </xf>
    <xf numFmtId="165" fontId="7" fillId="0" borderId="0" xfId="0" applyNumberFormat="1" applyFont="1" applyBorder="1"/>
    <xf numFmtId="165" fontId="8" fillId="0" borderId="38" xfId="0" applyNumberFormat="1" applyFont="1" applyBorder="1" applyAlignment="1">
      <alignment horizontal="center" vertical="center"/>
    </xf>
    <xf numFmtId="0" fontId="7" fillId="0" borderId="0" xfId="0" applyFont="1" applyFill="1"/>
    <xf numFmtId="1" fontId="8" fillId="0" borderId="0" xfId="0" applyNumberFormat="1" applyFont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17" fillId="13" borderId="2" xfId="0" applyFont="1" applyFill="1" applyBorder="1" applyAlignment="1">
      <alignment vertical="center"/>
    </xf>
    <xf numFmtId="0" fontId="17" fillId="13" borderId="62" xfId="0" applyFont="1" applyFill="1" applyBorder="1" applyAlignment="1">
      <alignment vertical="center"/>
    </xf>
    <xf numFmtId="0" fontId="17" fillId="13" borderId="63" xfId="0" applyFont="1" applyFill="1" applyBorder="1" applyAlignment="1">
      <alignment vertical="center"/>
    </xf>
    <xf numFmtId="0" fontId="17" fillId="0" borderId="39" xfId="0" applyFont="1" applyBorder="1"/>
    <xf numFmtId="0" fontId="17" fillId="0" borderId="2" xfId="0" applyFont="1" applyBorder="1"/>
    <xf numFmtId="0" fontId="17" fillId="0" borderId="64" xfId="0" applyFont="1" applyBorder="1"/>
    <xf numFmtId="0" fontId="17" fillId="13" borderId="39" xfId="0" applyFont="1" applyFill="1" applyBorder="1"/>
    <xf numFmtId="0" fontId="17" fillId="13" borderId="3" xfId="0" applyFont="1" applyFill="1" applyBorder="1"/>
    <xf numFmtId="0" fontId="17" fillId="13" borderId="40" xfId="0" applyFont="1" applyFill="1" applyBorder="1"/>
    <xf numFmtId="0" fontId="17" fillId="0" borderId="60" xfId="0" applyFont="1" applyBorder="1"/>
    <xf numFmtId="0" fontId="17" fillId="13" borderId="2" xfId="0" applyFont="1" applyFill="1" applyBorder="1"/>
    <xf numFmtId="0" fontId="17" fillId="0" borderId="3" xfId="0" applyFont="1" applyBorder="1"/>
    <xf numFmtId="0" fontId="17" fillId="13" borderId="63" xfId="0" applyFont="1" applyFill="1" applyBorder="1" applyAlignment="1">
      <alignment horizontal="center" vertical="center"/>
    </xf>
    <xf numFmtId="4" fontId="17" fillId="13" borderId="48" xfId="0" applyNumberFormat="1" applyFont="1" applyFill="1" applyBorder="1" applyAlignment="1">
      <alignment horizontal="center" vertical="center" wrapText="1"/>
    </xf>
    <xf numFmtId="164" fontId="15" fillId="0" borderId="40" xfId="0" applyNumberFormat="1" applyFont="1" applyBorder="1" applyAlignment="1">
      <alignment horizontal="right"/>
    </xf>
    <xf numFmtId="165" fontId="15" fillId="0" borderId="40" xfId="0" applyNumberFormat="1" applyFont="1" applyBorder="1" applyAlignment="1">
      <alignment horizontal="right"/>
    </xf>
    <xf numFmtId="164" fontId="15" fillId="0" borderId="2" xfId="0" applyNumberFormat="1" applyFont="1" applyBorder="1" applyAlignment="1">
      <alignment horizontal="right"/>
    </xf>
    <xf numFmtId="165" fontId="15" fillId="0" borderId="2" xfId="0" applyNumberFormat="1" applyFont="1" applyBorder="1" applyAlignment="1">
      <alignment horizontal="right"/>
    </xf>
    <xf numFmtId="164" fontId="15" fillId="0" borderId="2" xfId="0" applyNumberFormat="1" applyFont="1" applyBorder="1"/>
    <xf numFmtId="164" fontId="17" fillId="0" borderId="2" xfId="0" applyNumberFormat="1" applyFont="1" applyBorder="1"/>
    <xf numFmtId="165" fontId="17" fillId="0" borderId="2" xfId="0" applyNumberFormat="1" applyFont="1" applyBorder="1"/>
    <xf numFmtId="164" fontId="15" fillId="0" borderId="63" xfId="0" applyNumberFormat="1" applyFont="1" applyBorder="1" applyAlignment="1">
      <alignment horizontal="right"/>
    </xf>
    <xf numFmtId="164" fontId="15" fillId="0" borderId="48" xfId="0" applyNumberFormat="1" applyFont="1" applyBorder="1"/>
    <xf numFmtId="164" fontId="17" fillId="0" borderId="48" xfId="0" applyNumberFormat="1" applyFont="1" applyBorder="1"/>
    <xf numFmtId="165" fontId="17" fillId="0" borderId="48" xfId="0" applyNumberFormat="1" applyFont="1" applyBorder="1"/>
    <xf numFmtId="0" fontId="15" fillId="13" borderId="39" xfId="0" applyFont="1" applyFill="1" applyBorder="1"/>
    <xf numFmtId="0" fontId="15" fillId="13" borderId="3" xfId="0" applyFont="1" applyFill="1" applyBorder="1"/>
    <xf numFmtId="164" fontId="15" fillId="0" borderId="60" xfId="0" applyNumberFormat="1" applyFont="1" applyBorder="1"/>
    <xf numFmtId="165" fontId="15" fillId="0" borderId="60" xfId="0" applyNumberFormat="1" applyFont="1" applyBorder="1"/>
    <xf numFmtId="165" fontId="15" fillId="0" borderId="2" xfId="0" applyNumberFormat="1" applyFont="1" applyBorder="1"/>
    <xf numFmtId="165" fontId="15" fillId="0" borderId="63" xfId="0" applyNumberFormat="1" applyFont="1" applyBorder="1" applyAlignment="1">
      <alignment horizontal="right"/>
    </xf>
    <xf numFmtId="165" fontId="15" fillId="0" borderId="48" xfId="0" applyNumberFormat="1" applyFont="1" applyBorder="1"/>
    <xf numFmtId="164" fontId="15" fillId="0" borderId="40" xfId="0" applyNumberFormat="1" applyFont="1" applyBorder="1" applyAlignment="1">
      <alignment horizontal="right" wrapText="1"/>
    </xf>
    <xf numFmtId="164" fontId="17" fillId="0" borderId="3" xfId="0" applyNumberFormat="1" applyFont="1" applyBorder="1"/>
    <xf numFmtId="0" fontId="17" fillId="0" borderId="40" xfId="0" applyFont="1" applyBorder="1"/>
    <xf numFmtId="0" fontId="25" fillId="12" borderId="2" xfId="0" applyFont="1" applyFill="1" applyBorder="1" applyAlignment="1">
      <alignment horizontal="center" vertical="center"/>
    </xf>
    <xf numFmtId="0" fontId="24" fillId="12" borderId="2" xfId="0" applyFont="1" applyFill="1" applyBorder="1" applyAlignment="1">
      <alignment horizontal="center" vertical="center"/>
    </xf>
    <xf numFmtId="0" fontId="15" fillId="12" borderId="2" xfId="0" applyFont="1" applyFill="1" applyBorder="1" applyAlignment="1">
      <alignment horizontal="center" vertical="center"/>
    </xf>
    <xf numFmtId="0" fontId="17" fillId="12" borderId="2" xfId="0" applyFont="1" applyFill="1" applyBorder="1" applyAlignment="1">
      <alignment horizontal="center" vertical="center"/>
    </xf>
    <xf numFmtId="4" fontId="26" fillId="12" borderId="48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top"/>
    </xf>
    <xf numFmtId="0" fontId="3" fillId="0" borderId="61" xfId="0" applyFont="1" applyBorder="1" applyAlignment="1">
      <alignment vertical="center" wrapText="1" readingOrder="1"/>
    </xf>
    <xf numFmtId="165" fontId="8" fillId="0" borderId="2" xfId="0" applyNumberFormat="1" applyFont="1" applyBorder="1" applyAlignment="1">
      <alignment horizontal="right" vertical="center"/>
    </xf>
    <xf numFmtId="165" fontId="28" fillId="0" borderId="2" xfId="0" applyNumberFormat="1" applyFont="1" applyBorder="1" applyAlignment="1">
      <alignment horizontal="right" vertical="center"/>
    </xf>
    <xf numFmtId="0" fontId="27" fillId="0" borderId="0" xfId="0" applyFont="1" applyAlignment="1">
      <alignment vertical="top"/>
    </xf>
    <xf numFmtId="0" fontId="3" fillId="0" borderId="2" xfId="0" applyFont="1" applyBorder="1" applyAlignment="1">
      <alignment vertical="top" wrapText="1" readingOrder="1"/>
    </xf>
    <xf numFmtId="0" fontId="11" fillId="0" borderId="2" xfId="0" applyFont="1" applyBorder="1" applyAlignment="1">
      <alignment vertical="top" wrapText="1" readingOrder="1"/>
    </xf>
    <xf numFmtId="0" fontId="0" fillId="0" borderId="0" xfId="0" applyFont="1" applyFill="1" applyAlignment="1">
      <alignment vertical="top"/>
    </xf>
    <xf numFmtId="0" fontId="0" fillId="0" borderId="0" xfId="0" applyFont="1" applyAlignment="1">
      <alignment vertical="top"/>
    </xf>
    <xf numFmtId="165" fontId="23" fillId="0" borderId="2" xfId="0" applyNumberFormat="1" applyFont="1" applyFill="1" applyBorder="1" applyAlignment="1">
      <alignment horizontal="right" vertical="top" wrapText="1" readingOrder="1"/>
    </xf>
    <xf numFmtId="165" fontId="7" fillId="0" borderId="2" xfId="0" applyNumberFormat="1" applyFont="1" applyFill="1" applyBorder="1" applyAlignment="1">
      <alignment horizontal="right" vertical="top" wrapText="1" readingOrder="1"/>
    </xf>
    <xf numFmtId="0" fontId="27" fillId="5" borderId="61" xfId="0" applyFont="1" applyFill="1" applyBorder="1" applyAlignment="1">
      <alignment vertical="top"/>
    </xf>
    <xf numFmtId="0" fontId="21" fillId="15" borderId="48" xfId="0" applyFont="1" applyFill="1" applyBorder="1" applyAlignment="1">
      <alignment horizontal="center" vertical="top" wrapText="1" readingOrder="1"/>
    </xf>
    <xf numFmtId="0" fontId="21" fillId="15" borderId="60" xfId="0" applyFont="1" applyFill="1" applyBorder="1" applyAlignment="1">
      <alignment horizontal="center" vertical="top" wrapText="1" readingOrder="1"/>
    </xf>
    <xf numFmtId="0" fontId="27" fillId="14" borderId="61" xfId="0" applyFont="1" applyFill="1" applyBorder="1" applyAlignment="1">
      <alignment vertical="top"/>
    </xf>
    <xf numFmtId="165" fontId="7" fillId="14" borderId="61" xfId="0" applyNumberFormat="1" applyFont="1" applyFill="1" applyBorder="1" applyAlignment="1">
      <alignment horizontal="right" vertical="top" wrapText="1" readingOrder="1"/>
    </xf>
    <xf numFmtId="165" fontId="30" fillId="5" borderId="61" xfId="0" applyNumberFormat="1" applyFont="1" applyFill="1" applyBorder="1" applyAlignment="1">
      <alignment horizontal="right" vertical="top" wrapText="1" readingOrder="1"/>
    </xf>
    <xf numFmtId="0" fontId="8" fillId="5" borderId="2" xfId="0" applyNumberFormat="1" applyFont="1" applyFill="1" applyBorder="1" applyAlignment="1" applyProtection="1">
      <alignment horizontal="left" vertical="center" wrapText="1"/>
    </xf>
    <xf numFmtId="165" fontId="31" fillId="3" borderId="52" xfId="0" applyNumberFormat="1" applyFont="1" applyFill="1" applyBorder="1" applyAlignment="1">
      <alignment vertical="center"/>
    </xf>
    <xf numFmtId="165" fontId="31" fillId="3" borderId="59" xfId="0" applyNumberFormat="1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3" fontId="33" fillId="0" borderId="0" xfId="0" applyNumberFormat="1" applyFont="1" applyAlignment="1">
      <alignment wrapText="1"/>
    </xf>
    <xf numFmtId="3" fontId="33" fillId="0" borderId="0" xfId="0" applyNumberFormat="1" applyFont="1"/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 vertical="center" wrapText="1"/>
    </xf>
    <xf numFmtId="3" fontId="36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wrapText="1"/>
    </xf>
    <xf numFmtId="3" fontId="32" fillId="0" borderId="0" xfId="0" applyNumberFormat="1" applyFont="1" applyFill="1"/>
    <xf numFmtId="3" fontId="32" fillId="0" borderId="0" xfId="0" applyNumberFormat="1" applyFont="1"/>
    <xf numFmtId="3" fontId="32" fillId="0" borderId="0" xfId="0" applyNumberFormat="1" applyFont="1" applyBorder="1"/>
    <xf numFmtId="0" fontId="38" fillId="7" borderId="10" xfId="0" applyFont="1" applyFill="1" applyBorder="1" applyAlignment="1">
      <alignment horizontal="center" vertical="center" wrapText="1"/>
    </xf>
    <xf numFmtId="0" fontId="38" fillId="7" borderId="7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165" fontId="41" fillId="0" borderId="4" xfId="0" applyNumberFormat="1" applyFont="1" applyFill="1" applyBorder="1" applyAlignment="1">
      <alignment vertical="center"/>
    </xf>
    <xf numFmtId="165" fontId="41" fillId="0" borderId="4" xfId="0" applyNumberFormat="1" applyFont="1" applyBorder="1" applyAlignment="1">
      <alignment vertical="center"/>
    </xf>
    <xf numFmtId="165" fontId="41" fillId="0" borderId="49" xfId="0" applyNumberFormat="1" applyFont="1" applyBorder="1" applyAlignment="1">
      <alignment vertical="center"/>
    </xf>
    <xf numFmtId="165" fontId="38" fillId="0" borderId="4" xfId="0" applyNumberFormat="1" applyFont="1" applyFill="1" applyBorder="1" applyAlignment="1">
      <alignment vertical="center"/>
    </xf>
    <xf numFmtId="165" fontId="38" fillId="0" borderId="4" xfId="0" applyNumberFormat="1" applyFont="1" applyBorder="1" applyAlignment="1">
      <alignment vertical="center"/>
    </xf>
    <xf numFmtId="165" fontId="38" fillId="0" borderId="49" xfId="0" applyNumberFormat="1" applyFont="1" applyBorder="1" applyAlignment="1">
      <alignment vertical="center"/>
    </xf>
    <xf numFmtId="165" fontId="38" fillId="10" borderId="47" xfId="0" applyNumberFormat="1" applyFont="1" applyFill="1" applyBorder="1" applyAlignment="1">
      <alignment vertical="center"/>
    </xf>
    <xf numFmtId="165" fontId="38" fillId="10" borderId="58" xfId="0" applyNumberFormat="1" applyFont="1" applyFill="1" applyBorder="1" applyAlignment="1">
      <alignment vertical="center"/>
    </xf>
    <xf numFmtId="0" fontId="38" fillId="0" borderId="46" xfId="0" applyFont="1" applyBorder="1" applyAlignment="1">
      <alignment horizontal="left" vertical="center"/>
    </xf>
    <xf numFmtId="0" fontId="38" fillId="0" borderId="4" xfId="0" applyFont="1" applyBorder="1" applyAlignment="1">
      <alignment vertical="center" wrapText="1"/>
    </xf>
    <xf numFmtId="165" fontId="38" fillId="0" borderId="49" xfId="0" applyNumberFormat="1" applyFont="1" applyFill="1" applyBorder="1" applyAlignment="1">
      <alignment vertical="center"/>
    </xf>
    <xf numFmtId="0" fontId="41" fillId="0" borderId="46" xfId="0" applyFont="1" applyBorder="1" applyAlignment="1">
      <alignment horizontal="center" vertical="center"/>
    </xf>
    <xf numFmtId="0" fontId="41" fillId="0" borderId="4" xfId="0" applyFont="1" applyBorder="1" applyAlignment="1">
      <alignment vertical="center" wrapText="1"/>
    </xf>
    <xf numFmtId="165" fontId="43" fillId="0" borderId="4" xfId="0" applyNumberFormat="1" applyFont="1" applyFill="1" applyBorder="1" applyAlignment="1">
      <alignment vertical="center"/>
    </xf>
    <xf numFmtId="165" fontId="43" fillId="0" borderId="4" xfId="0" applyNumberFormat="1" applyFont="1" applyBorder="1" applyAlignment="1">
      <alignment vertical="center"/>
    </xf>
    <xf numFmtId="0" fontId="41" fillId="0" borderId="4" xfId="0" applyFont="1" applyBorder="1" applyAlignment="1">
      <alignment vertical="center"/>
    </xf>
    <xf numFmtId="165" fontId="38" fillId="10" borderId="42" xfId="0" applyNumberFormat="1" applyFont="1" applyFill="1" applyBorder="1" applyAlignment="1">
      <alignment vertical="center"/>
    </xf>
    <xf numFmtId="165" fontId="38" fillId="10" borderId="57" xfId="0" applyNumberFormat="1" applyFont="1" applyFill="1" applyBorder="1" applyAlignment="1">
      <alignment vertical="center"/>
    </xf>
    <xf numFmtId="0" fontId="39" fillId="3" borderId="50" xfId="0" applyFont="1" applyFill="1" applyBorder="1" applyAlignment="1">
      <alignment horizontal="center" vertical="center"/>
    </xf>
    <xf numFmtId="0" fontId="39" fillId="3" borderId="51" xfId="0" applyFont="1" applyFill="1" applyBorder="1" applyAlignment="1">
      <alignment vertical="center" wrapText="1"/>
    </xf>
    <xf numFmtId="165" fontId="29" fillId="0" borderId="4" xfId="0" applyNumberFormat="1" applyFont="1" applyFill="1" applyBorder="1" applyAlignment="1">
      <alignment vertical="center"/>
    </xf>
    <xf numFmtId="165" fontId="29" fillId="0" borderId="4" xfId="0" applyNumberFormat="1" applyFont="1" applyBorder="1" applyAlignment="1">
      <alignment vertical="center"/>
    </xf>
    <xf numFmtId="0" fontId="41" fillId="0" borderId="53" xfId="0" applyFont="1" applyBorder="1" applyAlignment="1">
      <alignment horizontal="center" vertical="center"/>
    </xf>
    <xf numFmtId="0" fontId="41" fillId="0" borderId="54" xfId="0" applyFont="1" applyBorder="1" applyAlignment="1">
      <alignment vertical="center" wrapText="1"/>
    </xf>
    <xf numFmtId="165" fontId="41" fillId="0" borderId="54" xfId="0" applyNumberFormat="1" applyFont="1" applyFill="1" applyBorder="1" applyAlignment="1">
      <alignment vertical="center"/>
    </xf>
    <xf numFmtId="165" fontId="41" fillId="0" borderId="54" xfId="0" applyNumberFormat="1" applyFont="1" applyBorder="1" applyAlignment="1">
      <alignment vertical="center"/>
    </xf>
    <xf numFmtId="165" fontId="41" fillId="0" borderId="55" xfId="0" applyNumberFormat="1" applyFont="1" applyBorder="1" applyAlignment="1">
      <alignment vertical="center"/>
    </xf>
    <xf numFmtId="0" fontId="44" fillId="2" borderId="0" xfId="0" applyFont="1" applyFill="1" applyAlignment="1">
      <alignment horizontal="center"/>
    </xf>
    <xf numFmtId="0" fontId="35" fillId="2" borderId="0" xfId="0" applyFont="1" applyFill="1" applyAlignment="1">
      <alignment wrapText="1"/>
    </xf>
    <xf numFmtId="0" fontId="35" fillId="0" borderId="0" xfId="0" applyFont="1" applyFill="1"/>
    <xf numFmtId="0" fontId="35" fillId="2" borderId="0" xfId="0" applyFont="1" applyFill="1"/>
    <xf numFmtId="0" fontId="39" fillId="3" borderId="46" xfId="0" applyFont="1" applyFill="1" applyBorder="1" applyAlignment="1">
      <alignment horizontal="center" vertical="center"/>
    </xf>
    <xf numFmtId="0" fontId="39" fillId="3" borderId="4" xfId="0" applyFont="1" applyFill="1" applyBorder="1" applyAlignment="1">
      <alignment vertical="center" wrapText="1"/>
    </xf>
    <xf numFmtId="165" fontId="39" fillId="3" borderId="4" xfId="0" applyNumberFormat="1" applyFont="1" applyFill="1" applyBorder="1" applyAlignment="1">
      <alignment vertical="center"/>
    </xf>
    <xf numFmtId="165" fontId="39" fillId="3" borderId="49" xfId="0" applyNumberFormat="1" applyFont="1" applyFill="1" applyBorder="1" applyAlignment="1">
      <alignment vertical="center"/>
    </xf>
    <xf numFmtId="0" fontId="39" fillId="7" borderId="11" xfId="0" applyFont="1" applyFill="1" applyBorder="1" applyAlignment="1">
      <alignment horizontal="center" vertical="center" wrapText="1"/>
    </xf>
    <xf numFmtId="0" fontId="40" fillId="7" borderId="11" xfId="0" applyFont="1" applyFill="1" applyBorder="1" applyAlignment="1">
      <alignment horizontal="center" vertical="center" wrapText="1"/>
    </xf>
    <xf numFmtId="0" fontId="40" fillId="7" borderId="12" xfId="0" applyFont="1" applyFill="1" applyBorder="1" applyAlignment="1">
      <alignment horizontal="center" vertical="center" wrapText="1"/>
    </xf>
    <xf numFmtId="165" fontId="44" fillId="0" borderId="42" xfId="0" applyNumberFormat="1" applyFont="1" applyBorder="1" applyAlignment="1">
      <alignment vertical="center"/>
    </xf>
    <xf numFmtId="165" fontId="44" fillId="0" borderId="57" xfId="0" applyNumberFormat="1" applyFont="1" applyBorder="1" applyAlignment="1">
      <alignment vertical="center"/>
    </xf>
    <xf numFmtId="0" fontId="35" fillId="0" borderId="0" xfId="0" applyFont="1" applyAlignment="1">
      <alignment vertical="center"/>
    </xf>
    <xf numFmtId="3" fontId="33" fillId="0" borderId="0" xfId="0" applyNumberFormat="1" applyFont="1" applyAlignment="1">
      <alignment vertical="center"/>
    </xf>
    <xf numFmtId="0" fontId="33" fillId="0" borderId="0" xfId="0" applyFont="1" applyAlignment="1">
      <alignment horizontal="center" vertical="center" wrapText="1"/>
    </xf>
    <xf numFmtId="3" fontId="48" fillId="0" borderId="0" xfId="0" applyNumberFormat="1" applyFont="1" applyAlignment="1">
      <alignment vertical="center"/>
    </xf>
    <xf numFmtId="0" fontId="49" fillId="0" borderId="11" xfId="0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0" fontId="48" fillId="2" borderId="0" xfId="0" applyFont="1" applyFill="1" applyAlignment="1">
      <alignment vertical="center"/>
    </xf>
    <xf numFmtId="165" fontId="46" fillId="3" borderId="52" xfId="0" applyNumberFormat="1" applyFont="1" applyFill="1" applyBorder="1" applyAlignment="1">
      <alignment vertical="center"/>
    </xf>
    <xf numFmtId="165" fontId="46" fillId="3" borderId="59" xfId="0" applyNumberFormat="1" applyFont="1" applyFill="1" applyBorder="1" applyAlignment="1">
      <alignment vertical="center"/>
    </xf>
    <xf numFmtId="165" fontId="39" fillId="10" borderId="47" xfId="0" applyNumberFormat="1" applyFont="1" applyFill="1" applyBorder="1" applyAlignment="1">
      <alignment vertical="center"/>
    </xf>
    <xf numFmtId="165" fontId="39" fillId="10" borderId="58" xfId="0" applyNumberFormat="1" applyFont="1" applyFill="1" applyBorder="1" applyAlignment="1">
      <alignment vertical="center"/>
    </xf>
    <xf numFmtId="165" fontId="39" fillId="10" borderId="42" xfId="0" applyNumberFormat="1" applyFont="1" applyFill="1" applyBorder="1" applyAlignment="1">
      <alignment vertical="center"/>
    </xf>
    <xf numFmtId="165" fontId="39" fillId="10" borderId="57" xfId="0" applyNumberFormat="1" applyFont="1" applyFill="1" applyBorder="1" applyAlignment="1">
      <alignment vertical="center"/>
    </xf>
    <xf numFmtId="165" fontId="46" fillId="10" borderId="47" xfId="0" applyNumberFormat="1" applyFont="1" applyFill="1" applyBorder="1" applyAlignment="1">
      <alignment vertical="center"/>
    </xf>
    <xf numFmtId="165" fontId="46" fillId="10" borderId="58" xfId="0" applyNumberFormat="1" applyFont="1" applyFill="1" applyBorder="1" applyAlignment="1">
      <alignment vertical="center"/>
    </xf>
    <xf numFmtId="165" fontId="39" fillId="0" borderId="42" xfId="0" applyNumberFormat="1" applyFont="1" applyBorder="1" applyAlignment="1">
      <alignment vertical="center"/>
    </xf>
    <xf numFmtId="165" fontId="46" fillId="0" borderId="42" xfId="0" applyNumberFormat="1" applyFont="1" applyBorder="1" applyAlignment="1">
      <alignment vertical="center"/>
    </xf>
    <xf numFmtId="165" fontId="46" fillId="0" borderId="57" xfId="0" applyNumberFormat="1" applyFont="1" applyBorder="1" applyAlignment="1">
      <alignment vertical="center"/>
    </xf>
    <xf numFmtId="165" fontId="48" fillId="0" borderId="4" xfId="0" applyNumberFormat="1" applyFont="1" applyBorder="1" applyAlignment="1">
      <alignment vertical="center"/>
    </xf>
    <xf numFmtId="165" fontId="52" fillId="0" borderId="4" xfId="0" applyNumberFormat="1" applyFont="1" applyFill="1" applyBorder="1" applyAlignment="1">
      <alignment vertical="center"/>
    </xf>
    <xf numFmtId="165" fontId="48" fillId="0" borderId="4" xfId="0" applyNumberFormat="1" applyFont="1" applyFill="1" applyBorder="1" applyAlignment="1">
      <alignment vertical="center"/>
    </xf>
    <xf numFmtId="165" fontId="48" fillId="0" borderId="41" xfId="0" applyNumberFormat="1" applyFont="1" applyBorder="1" applyAlignment="1">
      <alignment vertical="center"/>
    </xf>
    <xf numFmtId="165" fontId="48" fillId="0" borderId="2" xfId="0" applyNumberFormat="1" applyFont="1" applyBorder="1" applyAlignment="1">
      <alignment vertical="center"/>
    </xf>
    <xf numFmtId="165" fontId="48" fillId="0" borderId="43" xfId="0" applyNumberFormat="1" applyFont="1" applyBorder="1" applyAlignment="1">
      <alignment vertical="center"/>
    </xf>
    <xf numFmtId="165" fontId="39" fillId="0" borderId="4" xfId="0" applyNumberFormat="1" applyFont="1" applyBorder="1" applyAlignment="1">
      <alignment vertical="center"/>
    </xf>
    <xf numFmtId="165" fontId="39" fillId="0" borderId="4" xfId="0" applyNumberFormat="1" applyFont="1" applyFill="1" applyBorder="1" applyAlignment="1">
      <alignment vertical="center"/>
    </xf>
    <xf numFmtId="165" fontId="39" fillId="0" borderId="41" xfId="0" applyNumberFormat="1" applyFont="1" applyBorder="1" applyAlignment="1">
      <alignment vertical="center"/>
    </xf>
    <xf numFmtId="165" fontId="39" fillId="0" borderId="2" xfId="0" applyNumberFormat="1" applyFont="1" applyBorder="1" applyAlignment="1">
      <alignment vertical="center"/>
    </xf>
    <xf numFmtId="165" fontId="39" fillId="0" borderId="43" xfId="0" applyNumberFormat="1" applyFont="1" applyBorder="1" applyAlignment="1">
      <alignment vertical="center"/>
    </xf>
    <xf numFmtId="165" fontId="39" fillId="8" borderId="4" xfId="0" applyNumberFormat="1" applyFont="1" applyFill="1" applyBorder="1" applyAlignment="1">
      <alignment vertical="center"/>
    </xf>
    <xf numFmtId="165" fontId="39" fillId="9" borderId="4" xfId="0" applyNumberFormat="1" applyFont="1" applyFill="1" applyBorder="1" applyAlignment="1">
      <alignment vertical="center"/>
    </xf>
    <xf numFmtId="165" fontId="39" fillId="0" borderId="49" xfId="0" applyNumberFormat="1" applyFont="1" applyFill="1" applyBorder="1" applyAlignment="1">
      <alignment vertical="center"/>
    </xf>
    <xf numFmtId="165" fontId="48" fillId="8" borderId="4" xfId="0" applyNumberFormat="1" applyFont="1" applyFill="1" applyBorder="1" applyAlignment="1">
      <alignment vertical="center"/>
    </xf>
    <xf numFmtId="165" fontId="36" fillId="9" borderId="4" xfId="0" applyNumberFormat="1" applyFont="1" applyFill="1" applyBorder="1" applyAlignment="1">
      <alignment vertical="center"/>
    </xf>
    <xf numFmtId="165" fontId="36" fillId="0" borderId="4" xfId="0" applyNumberFormat="1" applyFont="1" applyFill="1" applyBorder="1" applyAlignment="1">
      <alignment vertical="center"/>
    </xf>
    <xf numFmtId="165" fontId="36" fillId="0" borderId="4" xfId="0" applyNumberFormat="1" applyFont="1" applyBorder="1" applyAlignment="1">
      <alignment vertical="center"/>
    </xf>
    <xf numFmtId="165" fontId="36" fillId="0" borderId="49" xfId="0" applyNumberFormat="1" applyFont="1" applyFill="1" applyBorder="1" applyAlignment="1">
      <alignment vertical="center"/>
    </xf>
    <xf numFmtId="165" fontId="36" fillId="9" borderId="0" xfId="0" applyNumberFormat="1" applyFont="1" applyFill="1" applyBorder="1" applyAlignment="1">
      <alignment vertical="center"/>
    </xf>
    <xf numFmtId="165" fontId="39" fillId="0" borderId="49" xfId="0" applyNumberFormat="1" applyFont="1" applyBorder="1" applyAlignment="1">
      <alignment vertical="center"/>
    </xf>
    <xf numFmtId="165" fontId="48" fillId="0" borderId="49" xfId="0" applyNumberFormat="1" applyFont="1" applyBorder="1" applyAlignment="1">
      <alignment vertical="center"/>
    </xf>
    <xf numFmtId="165" fontId="46" fillId="9" borderId="4" xfId="0" applyNumberFormat="1" applyFont="1" applyFill="1" applyBorder="1" applyAlignment="1">
      <alignment vertical="center"/>
    </xf>
    <xf numFmtId="165" fontId="36" fillId="0" borderId="49" xfId="0" applyNumberFormat="1" applyFont="1" applyBorder="1" applyAlignment="1">
      <alignment vertical="center"/>
    </xf>
    <xf numFmtId="165" fontId="46" fillId="0" borderId="2" xfId="0" applyNumberFormat="1" applyFont="1" applyBorder="1" applyAlignment="1">
      <alignment vertical="center"/>
    </xf>
    <xf numFmtId="165" fontId="46" fillId="0" borderId="43" xfId="0" applyNumberFormat="1" applyFont="1" applyBorder="1" applyAlignment="1">
      <alignment vertical="center"/>
    </xf>
    <xf numFmtId="165" fontId="46" fillId="0" borderId="4" xfId="0" applyNumberFormat="1" applyFont="1" applyBorder="1" applyAlignment="1">
      <alignment vertical="center"/>
    </xf>
    <xf numFmtId="165" fontId="46" fillId="0" borderId="49" xfId="0" applyNumberFormat="1" applyFont="1" applyBorder="1" applyAlignment="1">
      <alignment vertical="center"/>
    </xf>
    <xf numFmtId="165" fontId="46" fillId="0" borderId="4" xfId="0" applyNumberFormat="1" applyFont="1" applyFill="1" applyBorder="1" applyAlignment="1">
      <alignment vertical="center"/>
    </xf>
    <xf numFmtId="165" fontId="48" fillId="9" borderId="4" xfId="0" applyNumberFormat="1" applyFont="1" applyFill="1" applyBorder="1" applyAlignment="1">
      <alignment vertical="center"/>
    </xf>
    <xf numFmtId="165" fontId="46" fillId="9" borderId="1" xfId="0" applyNumberFormat="1" applyFont="1" applyFill="1" applyBorder="1" applyAlignment="1">
      <alignment vertical="center"/>
    </xf>
    <xf numFmtId="165" fontId="48" fillId="8" borderId="54" xfId="0" applyNumberFormat="1" applyFont="1" applyFill="1" applyBorder="1" applyAlignment="1">
      <alignment vertical="center"/>
    </xf>
    <xf numFmtId="165" fontId="48" fillId="9" borderId="54" xfId="0" applyNumberFormat="1" applyFont="1" applyFill="1" applyBorder="1" applyAlignment="1">
      <alignment vertical="center"/>
    </xf>
    <xf numFmtId="165" fontId="48" fillId="0" borderId="54" xfId="0" applyNumberFormat="1" applyFont="1" applyFill="1" applyBorder="1" applyAlignment="1">
      <alignment vertical="center"/>
    </xf>
    <xf numFmtId="165" fontId="48" fillId="0" borderId="54" xfId="0" applyNumberFormat="1" applyFont="1" applyBorder="1" applyAlignment="1">
      <alignment vertical="center"/>
    </xf>
    <xf numFmtId="165" fontId="48" fillId="0" borderId="55" xfId="0" applyNumberFormat="1" applyFont="1" applyBorder="1" applyAlignment="1">
      <alignment vertical="center"/>
    </xf>
    <xf numFmtId="165" fontId="39" fillId="0" borderId="42" xfId="0" applyNumberFormat="1" applyFont="1" applyFill="1" applyBorder="1" applyAlignment="1">
      <alignment vertical="center"/>
    </xf>
    <xf numFmtId="0" fontId="39" fillId="0" borderId="12" xfId="0" applyFont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right" vertical="center"/>
    </xf>
    <xf numFmtId="165" fontId="3" fillId="5" borderId="2" xfId="0" applyNumberFormat="1" applyFont="1" applyFill="1" applyBorder="1" applyAlignment="1">
      <alignment horizontal="right" vertical="center"/>
    </xf>
    <xf numFmtId="164" fontId="8" fillId="5" borderId="2" xfId="0" applyNumberFormat="1" applyFont="1" applyFill="1" applyBorder="1" applyAlignment="1">
      <alignment horizontal="right" vertical="center"/>
    </xf>
    <xf numFmtId="165" fontId="8" fillId="5" borderId="2" xfId="0" applyNumberFormat="1" applyFont="1" applyFill="1" applyBorder="1" applyAlignment="1">
      <alignment horizontal="right" vertical="center"/>
    </xf>
    <xf numFmtId="165" fontId="3" fillId="11" borderId="40" xfId="0" applyNumberFormat="1" applyFont="1" applyFill="1" applyBorder="1" applyAlignment="1">
      <alignment horizontal="right" vertical="center"/>
    </xf>
    <xf numFmtId="164" fontId="3" fillId="11" borderId="2" xfId="0" applyNumberFormat="1" applyFont="1" applyFill="1" applyBorder="1" applyAlignment="1">
      <alignment horizontal="right" vertical="center"/>
    </xf>
    <xf numFmtId="165" fontId="3" fillId="11" borderId="2" xfId="0" applyNumberFormat="1" applyFont="1" applyFill="1" applyBorder="1" applyAlignment="1">
      <alignment horizontal="right" vertical="center"/>
    </xf>
    <xf numFmtId="164" fontId="8" fillId="11" borderId="2" xfId="0" applyNumberFormat="1" applyFont="1" applyFill="1" applyBorder="1" applyAlignment="1">
      <alignment horizontal="right" vertical="center"/>
    </xf>
    <xf numFmtId="165" fontId="8" fillId="11" borderId="2" xfId="0" applyNumberFormat="1" applyFont="1" applyFill="1" applyBorder="1" applyAlignment="1">
      <alignment horizontal="right" vertical="center"/>
    </xf>
    <xf numFmtId="165" fontId="2" fillId="11" borderId="2" xfId="0" applyNumberFormat="1" applyFont="1" applyFill="1" applyBorder="1" applyAlignment="1">
      <alignment horizontal="right" vertical="center"/>
    </xf>
    <xf numFmtId="164" fontId="2" fillId="11" borderId="2" xfId="0" applyNumberFormat="1" applyFont="1" applyFill="1" applyBorder="1" applyAlignment="1">
      <alignment horizontal="right" vertical="center"/>
    </xf>
    <xf numFmtId="164" fontId="7" fillId="11" borderId="2" xfId="0" applyNumberFormat="1" applyFont="1" applyFill="1" applyBorder="1" applyAlignment="1">
      <alignment horizontal="right" vertical="center"/>
    </xf>
    <xf numFmtId="165" fontId="7" fillId="11" borderId="2" xfId="0" applyNumberFormat="1" applyFont="1" applyFill="1" applyBorder="1" applyAlignment="1">
      <alignment horizontal="right" vertical="center"/>
    </xf>
    <xf numFmtId="164" fontId="3" fillId="11" borderId="40" xfId="0" applyNumberFormat="1" applyFont="1" applyFill="1" applyBorder="1" applyAlignment="1">
      <alignment horizontal="right" vertical="center"/>
    </xf>
    <xf numFmtId="164" fontId="2" fillId="11" borderId="40" xfId="0" applyNumberFormat="1" applyFont="1" applyFill="1" applyBorder="1" applyAlignment="1">
      <alignment horizontal="right" vertical="center"/>
    </xf>
    <xf numFmtId="165" fontId="2" fillId="11" borderId="40" xfId="0" applyNumberFormat="1" applyFont="1" applyFill="1" applyBorder="1" applyAlignment="1">
      <alignment horizontal="right" vertical="center"/>
    </xf>
    <xf numFmtId="165" fontId="2" fillId="11" borderId="2" xfId="0" applyNumberFormat="1" applyFont="1" applyFill="1" applyBorder="1" applyAlignment="1" applyProtection="1">
      <alignment horizontal="right" vertical="center" wrapText="1"/>
    </xf>
    <xf numFmtId="165" fontId="2" fillId="0" borderId="61" xfId="0" applyNumberFormat="1" applyFont="1" applyBorder="1" applyAlignment="1">
      <alignment horizontal="right" vertical="center"/>
    </xf>
    <xf numFmtId="165" fontId="2" fillId="0" borderId="60" xfId="0" applyNumberFormat="1" applyFont="1" applyBorder="1" applyAlignment="1">
      <alignment horizontal="right" vertical="center"/>
    </xf>
    <xf numFmtId="0" fontId="0" fillId="0" borderId="0" xfId="0" applyBorder="1" applyAlignment="1">
      <alignment vertical="top"/>
    </xf>
    <xf numFmtId="165" fontId="8" fillId="0" borderId="0" xfId="0" applyNumberFormat="1" applyFont="1" applyBorder="1" applyAlignment="1">
      <alignment horizontal="right" vertical="center"/>
    </xf>
    <xf numFmtId="165" fontId="28" fillId="0" borderId="0" xfId="0" applyNumberFormat="1" applyFont="1" applyBorder="1" applyAlignment="1">
      <alignment horizontal="right" vertical="center"/>
    </xf>
    <xf numFmtId="0" fontId="53" fillId="0" borderId="4" xfId="0" applyFont="1" applyBorder="1" applyAlignment="1">
      <alignment vertical="center"/>
    </xf>
    <xf numFmtId="0" fontId="38" fillId="8" borderId="11" xfId="0" applyFont="1" applyFill="1" applyBorder="1" applyAlignment="1">
      <alignment horizontal="center" vertical="center" wrapText="1"/>
    </xf>
    <xf numFmtId="0" fontId="38" fillId="9" borderId="11" xfId="0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 wrapText="1"/>
    </xf>
    <xf numFmtId="0" fontId="20" fillId="0" borderId="39" xfId="0" applyFont="1" applyBorder="1" applyAlignment="1">
      <alignment horizontal="left" wrapText="1"/>
    </xf>
    <xf numFmtId="0" fontId="20" fillId="0" borderId="3" xfId="0" applyFont="1" applyBorder="1" applyAlignment="1">
      <alignment horizontal="left" wrapText="1"/>
    </xf>
    <xf numFmtId="0" fontId="20" fillId="0" borderId="40" xfId="0" applyFont="1" applyBorder="1" applyAlignment="1">
      <alignment horizontal="left" wrapText="1"/>
    </xf>
    <xf numFmtId="0" fontId="17" fillId="0" borderId="39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40" xfId="0" applyFont="1" applyBorder="1" applyAlignment="1">
      <alignment horizontal="right"/>
    </xf>
    <xf numFmtId="0" fontId="17" fillId="0" borderId="39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40" xfId="0" applyFont="1" applyBorder="1" applyAlignment="1">
      <alignment horizontal="left"/>
    </xf>
    <xf numFmtId="0" fontId="22" fillId="12" borderId="62" xfId="0" applyFont="1" applyFill="1" applyBorder="1" applyAlignment="1">
      <alignment horizontal="center" vertical="center"/>
    </xf>
    <xf numFmtId="0" fontId="22" fillId="12" borderId="63" xfId="0" applyFont="1" applyFill="1" applyBorder="1" applyAlignment="1">
      <alignment horizontal="center" vertical="center"/>
    </xf>
    <xf numFmtId="0" fontId="22" fillId="12" borderId="0" xfId="0" applyFont="1" applyFill="1" applyAlignment="1">
      <alignment horizontal="center" vertical="center"/>
    </xf>
    <xf numFmtId="0" fontId="22" fillId="12" borderId="65" xfId="0" applyFont="1" applyFill="1" applyBorder="1" applyAlignment="1">
      <alignment horizontal="center" vertical="center"/>
    </xf>
    <xf numFmtId="0" fontId="22" fillId="12" borderId="1" xfId="0" applyFont="1" applyFill="1" applyBorder="1" applyAlignment="1">
      <alignment horizontal="center" vertical="center"/>
    </xf>
    <xf numFmtId="0" fontId="22" fillId="12" borderId="66" xfId="0" applyFont="1" applyFill="1" applyBorder="1" applyAlignment="1">
      <alignment horizontal="center" vertical="center"/>
    </xf>
    <xf numFmtId="0" fontId="24" fillId="12" borderId="39" xfId="0" applyFont="1" applyFill="1" applyBorder="1" applyAlignment="1">
      <alignment horizontal="center" vertical="center"/>
    </xf>
    <xf numFmtId="0" fontId="24" fillId="12" borderId="40" xfId="0" applyFont="1" applyFill="1" applyBorder="1" applyAlignment="1">
      <alignment horizontal="center" vertical="center"/>
    </xf>
    <xf numFmtId="4" fontId="24" fillId="12" borderId="39" xfId="0" applyNumberFormat="1" applyFont="1" applyFill="1" applyBorder="1" applyAlignment="1">
      <alignment horizontal="center" vertical="center" wrapText="1"/>
    </xf>
    <xf numFmtId="4" fontId="24" fillId="12" borderId="4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vertical="center" wrapText="1"/>
    </xf>
    <xf numFmtId="0" fontId="3" fillId="6" borderId="48" xfId="0" applyNumberFormat="1" applyFont="1" applyFill="1" applyBorder="1" applyAlignment="1" applyProtection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3" fillId="6" borderId="39" xfId="0" applyNumberFormat="1" applyFont="1" applyFill="1" applyBorder="1" applyAlignment="1" applyProtection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21" fillId="15" borderId="63" xfId="0" applyFont="1" applyFill="1" applyBorder="1" applyAlignment="1">
      <alignment horizontal="center" vertical="top" wrapText="1" readingOrder="1"/>
    </xf>
    <xf numFmtId="0" fontId="21" fillId="15" borderId="66" xfId="0" applyFont="1" applyFill="1" applyBorder="1" applyAlignment="1">
      <alignment horizontal="center" vertical="top" wrapText="1" readingOrder="1"/>
    </xf>
    <xf numFmtId="0" fontId="21" fillId="15" borderId="48" xfId="0" applyFont="1" applyFill="1" applyBorder="1" applyAlignment="1">
      <alignment horizontal="center" vertical="top" wrapText="1" readingOrder="1"/>
    </xf>
    <xf numFmtId="0" fontId="0" fillId="15" borderId="60" xfId="0" applyFill="1" applyBorder="1" applyAlignment="1">
      <alignment horizontal="center" vertical="top" wrapText="1" readingOrder="1"/>
    </xf>
    <xf numFmtId="0" fontId="21" fillId="15" borderId="48" xfId="0" applyFont="1" applyFill="1" applyBorder="1" applyAlignment="1">
      <alignment horizontal="center" vertical="center" wrapText="1" readingOrder="1"/>
    </xf>
    <xf numFmtId="0" fontId="0" fillId="15" borderId="60" xfId="0" applyFill="1" applyBorder="1" applyAlignment="1">
      <alignment horizontal="center" vertical="center" wrapText="1" readingOrder="1"/>
    </xf>
    <xf numFmtId="0" fontId="13" fillId="14" borderId="6" xfId="0" applyFont="1" applyFill="1" applyBorder="1" applyAlignment="1">
      <alignment horizontal="center" vertical="center"/>
    </xf>
    <xf numFmtId="0" fontId="14" fillId="14" borderId="7" xfId="0" applyFont="1" applyFill="1" applyBorder="1" applyAlignment="1">
      <alignment horizontal="center" vertical="center"/>
    </xf>
    <xf numFmtId="0" fontId="14" fillId="14" borderId="8" xfId="0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165" fontId="8" fillId="0" borderId="8" xfId="0" applyNumberFormat="1" applyFont="1" applyBorder="1" applyAlignment="1">
      <alignment horizontal="center" vertical="center"/>
    </xf>
    <xf numFmtId="0" fontId="13" fillId="10" borderId="6" xfId="0" applyFont="1" applyFill="1" applyBorder="1" applyAlignment="1">
      <alignment horizontal="center" vertical="center"/>
    </xf>
    <xf numFmtId="0" fontId="14" fillId="10" borderId="7" xfId="0" applyFont="1" applyFill="1" applyBorder="1" applyAlignment="1">
      <alignment horizontal="center" vertical="center"/>
    </xf>
    <xf numFmtId="0" fontId="14" fillId="10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13" fillId="7" borderId="6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47" fillId="0" borderId="56" xfId="0" applyFont="1" applyBorder="1" applyAlignment="1">
      <alignment horizontal="center" vertical="center" wrapText="1"/>
    </xf>
    <xf numFmtId="0" fontId="47" fillId="0" borderId="52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3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0" fillId="10" borderId="44" xfId="0" applyFont="1" applyFill="1" applyBorder="1" applyAlignment="1">
      <alignment horizontal="left" vertical="center" wrapText="1"/>
    </xf>
    <xf numFmtId="0" fontId="51" fillId="10" borderId="45" xfId="0" applyFont="1" applyFill="1" applyBorder="1" applyAlignment="1">
      <alignment vertical="center" wrapText="1"/>
    </xf>
    <xf numFmtId="0" fontId="41" fillId="2" borderId="44" xfId="0" applyFont="1" applyFill="1" applyBorder="1" applyAlignment="1">
      <alignment horizontal="left" vertical="center" wrapText="1"/>
    </xf>
    <xf numFmtId="0" fontId="41" fillId="2" borderId="45" xfId="0" applyFont="1" applyFill="1" applyBorder="1" applyAlignment="1">
      <alignment horizontal="left" vertical="center" wrapText="1"/>
    </xf>
    <xf numFmtId="0" fontId="48" fillId="0" borderId="44" xfId="0" applyFont="1" applyBorder="1" applyAlignment="1">
      <alignment horizontal="left" vertical="center"/>
    </xf>
    <xf numFmtId="0" fontId="48" fillId="0" borderId="45" xfId="0" applyFont="1" applyBorder="1" applyAlignment="1">
      <alignment horizontal="left" vertical="center"/>
    </xf>
    <xf numFmtId="0" fontId="41" fillId="0" borderId="44" xfId="0" applyFont="1" applyBorder="1" applyAlignment="1">
      <alignment horizontal="left" vertical="center"/>
    </xf>
    <xf numFmtId="0" fontId="41" fillId="0" borderId="45" xfId="0" applyFont="1" applyBorder="1" applyAlignment="1">
      <alignment horizontal="left" vertical="center"/>
    </xf>
    <xf numFmtId="0" fontId="42" fillId="10" borderId="44" xfId="0" applyFont="1" applyFill="1" applyBorder="1" applyAlignment="1">
      <alignment horizontal="left" vertical="center" wrapText="1"/>
    </xf>
    <xf numFmtId="0" fontId="0" fillId="10" borderId="45" xfId="0" applyFont="1" applyFill="1" applyBorder="1" applyAlignment="1">
      <alignment vertical="center" wrapText="1"/>
    </xf>
  </cellXfs>
  <cellStyles count="2">
    <cellStyle name="Normalno" xfId="0" builtinId="0"/>
    <cellStyle name="Obično_List5" xfId="1"/>
  </cellStyles>
  <dxfs count="0"/>
  <tableStyles count="0" defaultTableStyle="TableStyleMedium2" defaultPivotStyle="PivotStyleLight16"/>
  <colors>
    <mruColors>
      <color rgb="FFFFCCFF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1</xdr:col>
      <xdr:colOff>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4132A65-669B-4A61-A586-ED4AC8E61EB5}"/>
            </a:ext>
          </a:extLst>
        </xdr:cNvPr>
        <xdr:cNvSpPr>
          <a:spLocks noChangeShapeType="1"/>
        </xdr:cNvSpPr>
      </xdr:nvSpPr>
      <xdr:spPr bwMode="auto">
        <a:xfrm>
          <a:off x="19050" y="1323975"/>
          <a:ext cx="90487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6</xdr:row>
      <xdr:rowOff>19050</xdr:rowOff>
    </xdr:from>
    <xdr:to>
      <xdr:col>0</xdr:col>
      <xdr:colOff>1057275</xdr:colOff>
      <xdr:row>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2989BA21-6FD4-4D17-A911-0982A4A4E75A}"/>
            </a:ext>
          </a:extLst>
        </xdr:cNvPr>
        <xdr:cNvSpPr>
          <a:spLocks noChangeShapeType="1"/>
        </xdr:cNvSpPr>
      </xdr:nvSpPr>
      <xdr:spPr bwMode="auto">
        <a:xfrm>
          <a:off x="9525" y="1323975"/>
          <a:ext cx="914400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27</xdr:row>
      <xdr:rowOff>19050</xdr:rowOff>
    </xdr:from>
    <xdr:to>
      <xdr:col>1</xdr:col>
      <xdr:colOff>0</xdr:colOff>
      <xdr:row>29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xmlns="" id="{344BCDA8-F3BA-4BC0-929E-0A3C92147130}"/>
            </a:ext>
          </a:extLst>
        </xdr:cNvPr>
        <xdr:cNvSpPr>
          <a:spLocks noChangeShapeType="1"/>
        </xdr:cNvSpPr>
      </xdr:nvSpPr>
      <xdr:spPr bwMode="auto">
        <a:xfrm>
          <a:off x="19050" y="6591300"/>
          <a:ext cx="90487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27</xdr:row>
      <xdr:rowOff>19050</xdr:rowOff>
    </xdr:from>
    <xdr:to>
      <xdr:col>0</xdr:col>
      <xdr:colOff>1057275</xdr:colOff>
      <xdr:row>29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xmlns="" id="{A43E96E7-F5B2-4595-A391-4B12EDC16218}"/>
            </a:ext>
          </a:extLst>
        </xdr:cNvPr>
        <xdr:cNvSpPr>
          <a:spLocks noChangeShapeType="1"/>
        </xdr:cNvSpPr>
      </xdr:nvSpPr>
      <xdr:spPr bwMode="auto">
        <a:xfrm>
          <a:off x="9525" y="6591300"/>
          <a:ext cx="914400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49</xdr:row>
      <xdr:rowOff>19050</xdr:rowOff>
    </xdr:from>
    <xdr:to>
      <xdr:col>1</xdr:col>
      <xdr:colOff>0</xdr:colOff>
      <xdr:row>51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xmlns="" id="{8A625595-F46A-4DB6-8112-F9EF2264625F}"/>
            </a:ext>
          </a:extLst>
        </xdr:cNvPr>
        <xdr:cNvSpPr>
          <a:spLocks noChangeShapeType="1"/>
        </xdr:cNvSpPr>
      </xdr:nvSpPr>
      <xdr:spPr bwMode="auto">
        <a:xfrm>
          <a:off x="19050" y="12544425"/>
          <a:ext cx="90487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49</xdr:row>
      <xdr:rowOff>19050</xdr:rowOff>
    </xdr:from>
    <xdr:to>
      <xdr:col>1</xdr:col>
      <xdr:colOff>28575</xdr:colOff>
      <xdr:row>51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xmlns="" id="{01C1B5E5-9AAE-4131-A0D2-6E59B3822924}"/>
            </a:ext>
          </a:extLst>
        </xdr:cNvPr>
        <xdr:cNvSpPr>
          <a:spLocks noChangeShapeType="1"/>
        </xdr:cNvSpPr>
      </xdr:nvSpPr>
      <xdr:spPr bwMode="auto">
        <a:xfrm>
          <a:off x="38100" y="12544425"/>
          <a:ext cx="9144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P20" sqref="P20"/>
    </sheetView>
  </sheetViews>
  <sheetFormatPr defaultColWidth="11.42578125" defaultRowHeight="12.75" x14ac:dyDescent="0.2"/>
  <cols>
    <col min="1" max="2" width="4.28515625" style="1" customWidth="1"/>
    <col min="3" max="3" width="5.5703125" style="1" customWidth="1"/>
    <col min="4" max="4" width="5.28515625" style="2" customWidth="1"/>
    <col min="5" max="5" width="29.42578125" style="1" customWidth="1"/>
    <col min="6" max="6" width="10.7109375" style="19" customWidth="1"/>
    <col min="7" max="7" width="9" style="27" customWidth="1"/>
    <col min="8" max="8" width="10.7109375" style="19" customWidth="1"/>
    <col min="9" max="9" width="9.140625" style="27" customWidth="1"/>
    <col min="10" max="10" width="11.5703125" style="1" customWidth="1"/>
    <col min="11" max="11" width="9.5703125" style="27" customWidth="1"/>
    <col min="12" max="12" width="9.7109375" style="1" customWidth="1"/>
    <col min="13" max="13" width="9.28515625" style="1" customWidth="1"/>
    <col min="14" max="14" width="11.42578125" style="1"/>
    <col min="15" max="15" width="16.28515625" style="1" bestFit="1" customWidth="1"/>
    <col min="16" max="16" width="21.7109375" style="1" bestFit="1" customWidth="1"/>
    <col min="17" max="261" width="11.42578125" style="1"/>
    <col min="262" max="263" width="4.28515625" style="1" customWidth="1"/>
    <col min="264" max="264" width="5.5703125" style="1" customWidth="1"/>
    <col min="265" max="265" width="5.28515625" style="1" customWidth="1"/>
    <col min="266" max="266" width="44.7109375" style="1" customWidth="1"/>
    <col min="267" max="267" width="15.85546875" style="1" bestFit="1" customWidth="1"/>
    <col min="268" max="268" width="17.28515625" style="1" customWidth="1"/>
    <col min="269" max="269" width="16.7109375" style="1" customWidth="1"/>
    <col min="270" max="270" width="11.42578125" style="1"/>
    <col min="271" max="271" width="16.28515625" style="1" bestFit="1" customWidth="1"/>
    <col min="272" max="272" width="21.7109375" style="1" bestFit="1" customWidth="1"/>
    <col min="273" max="517" width="11.42578125" style="1"/>
    <col min="518" max="519" width="4.28515625" style="1" customWidth="1"/>
    <col min="520" max="520" width="5.5703125" style="1" customWidth="1"/>
    <col min="521" max="521" width="5.28515625" style="1" customWidth="1"/>
    <col min="522" max="522" width="44.7109375" style="1" customWidth="1"/>
    <col min="523" max="523" width="15.85546875" style="1" bestFit="1" customWidth="1"/>
    <col min="524" max="524" width="17.28515625" style="1" customWidth="1"/>
    <col min="525" max="525" width="16.7109375" style="1" customWidth="1"/>
    <col min="526" max="526" width="11.42578125" style="1"/>
    <col min="527" max="527" width="16.28515625" style="1" bestFit="1" customWidth="1"/>
    <col min="528" max="528" width="21.7109375" style="1" bestFit="1" customWidth="1"/>
    <col min="529" max="773" width="11.42578125" style="1"/>
    <col min="774" max="775" width="4.28515625" style="1" customWidth="1"/>
    <col min="776" max="776" width="5.5703125" style="1" customWidth="1"/>
    <col min="777" max="777" width="5.28515625" style="1" customWidth="1"/>
    <col min="778" max="778" width="44.7109375" style="1" customWidth="1"/>
    <col min="779" max="779" width="15.85546875" style="1" bestFit="1" customWidth="1"/>
    <col min="780" max="780" width="17.28515625" style="1" customWidth="1"/>
    <col min="781" max="781" width="16.7109375" style="1" customWidth="1"/>
    <col min="782" max="782" width="11.42578125" style="1"/>
    <col min="783" max="783" width="16.28515625" style="1" bestFit="1" customWidth="1"/>
    <col min="784" max="784" width="21.7109375" style="1" bestFit="1" customWidth="1"/>
    <col min="785" max="1029" width="11.42578125" style="1"/>
    <col min="1030" max="1031" width="4.28515625" style="1" customWidth="1"/>
    <col min="1032" max="1032" width="5.5703125" style="1" customWidth="1"/>
    <col min="1033" max="1033" width="5.28515625" style="1" customWidth="1"/>
    <col min="1034" max="1034" width="44.7109375" style="1" customWidth="1"/>
    <col min="1035" max="1035" width="15.85546875" style="1" bestFit="1" customWidth="1"/>
    <col min="1036" max="1036" width="17.28515625" style="1" customWidth="1"/>
    <col min="1037" max="1037" width="16.7109375" style="1" customWidth="1"/>
    <col min="1038" max="1038" width="11.42578125" style="1"/>
    <col min="1039" max="1039" width="16.28515625" style="1" bestFit="1" customWidth="1"/>
    <col min="1040" max="1040" width="21.7109375" style="1" bestFit="1" customWidth="1"/>
    <col min="1041" max="1285" width="11.42578125" style="1"/>
    <col min="1286" max="1287" width="4.28515625" style="1" customWidth="1"/>
    <col min="1288" max="1288" width="5.5703125" style="1" customWidth="1"/>
    <col min="1289" max="1289" width="5.28515625" style="1" customWidth="1"/>
    <col min="1290" max="1290" width="44.7109375" style="1" customWidth="1"/>
    <col min="1291" max="1291" width="15.85546875" style="1" bestFit="1" customWidth="1"/>
    <col min="1292" max="1292" width="17.28515625" style="1" customWidth="1"/>
    <col min="1293" max="1293" width="16.7109375" style="1" customWidth="1"/>
    <col min="1294" max="1294" width="11.42578125" style="1"/>
    <col min="1295" max="1295" width="16.28515625" style="1" bestFit="1" customWidth="1"/>
    <col min="1296" max="1296" width="21.7109375" style="1" bestFit="1" customWidth="1"/>
    <col min="1297" max="1541" width="11.42578125" style="1"/>
    <col min="1542" max="1543" width="4.28515625" style="1" customWidth="1"/>
    <col min="1544" max="1544" width="5.5703125" style="1" customWidth="1"/>
    <col min="1545" max="1545" width="5.28515625" style="1" customWidth="1"/>
    <col min="1546" max="1546" width="44.7109375" style="1" customWidth="1"/>
    <col min="1547" max="1547" width="15.85546875" style="1" bestFit="1" customWidth="1"/>
    <col min="1548" max="1548" width="17.28515625" style="1" customWidth="1"/>
    <col min="1549" max="1549" width="16.7109375" style="1" customWidth="1"/>
    <col min="1550" max="1550" width="11.42578125" style="1"/>
    <col min="1551" max="1551" width="16.28515625" style="1" bestFit="1" customWidth="1"/>
    <col min="1552" max="1552" width="21.7109375" style="1" bestFit="1" customWidth="1"/>
    <col min="1553" max="1797" width="11.42578125" style="1"/>
    <col min="1798" max="1799" width="4.28515625" style="1" customWidth="1"/>
    <col min="1800" max="1800" width="5.5703125" style="1" customWidth="1"/>
    <col min="1801" max="1801" width="5.28515625" style="1" customWidth="1"/>
    <col min="1802" max="1802" width="44.7109375" style="1" customWidth="1"/>
    <col min="1803" max="1803" width="15.85546875" style="1" bestFit="1" customWidth="1"/>
    <col min="1804" max="1804" width="17.28515625" style="1" customWidth="1"/>
    <col min="1805" max="1805" width="16.7109375" style="1" customWidth="1"/>
    <col min="1806" max="1806" width="11.42578125" style="1"/>
    <col min="1807" max="1807" width="16.28515625" style="1" bestFit="1" customWidth="1"/>
    <col min="1808" max="1808" width="21.7109375" style="1" bestFit="1" customWidth="1"/>
    <col min="1809" max="2053" width="11.42578125" style="1"/>
    <col min="2054" max="2055" width="4.28515625" style="1" customWidth="1"/>
    <col min="2056" max="2056" width="5.5703125" style="1" customWidth="1"/>
    <col min="2057" max="2057" width="5.28515625" style="1" customWidth="1"/>
    <col min="2058" max="2058" width="44.7109375" style="1" customWidth="1"/>
    <col min="2059" max="2059" width="15.85546875" style="1" bestFit="1" customWidth="1"/>
    <col min="2060" max="2060" width="17.28515625" style="1" customWidth="1"/>
    <col min="2061" max="2061" width="16.7109375" style="1" customWidth="1"/>
    <col min="2062" max="2062" width="11.42578125" style="1"/>
    <col min="2063" max="2063" width="16.28515625" style="1" bestFit="1" customWidth="1"/>
    <col min="2064" max="2064" width="21.7109375" style="1" bestFit="1" customWidth="1"/>
    <col min="2065" max="2309" width="11.42578125" style="1"/>
    <col min="2310" max="2311" width="4.28515625" style="1" customWidth="1"/>
    <col min="2312" max="2312" width="5.5703125" style="1" customWidth="1"/>
    <col min="2313" max="2313" width="5.28515625" style="1" customWidth="1"/>
    <col min="2314" max="2314" width="44.7109375" style="1" customWidth="1"/>
    <col min="2315" max="2315" width="15.85546875" style="1" bestFit="1" customWidth="1"/>
    <col min="2316" max="2316" width="17.28515625" style="1" customWidth="1"/>
    <col min="2317" max="2317" width="16.7109375" style="1" customWidth="1"/>
    <col min="2318" max="2318" width="11.42578125" style="1"/>
    <col min="2319" max="2319" width="16.28515625" style="1" bestFit="1" customWidth="1"/>
    <col min="2320" max="2320" width="21.7109375" style="1" bestFit="1" customWidth="1"/>
    <col min="2321" max="2565" width="11.42578125" style="1"/>
    <col min="2566" max="2567" width="4.28515625" style="1" customWidth="1"/>
    <col min="2568" max="2568" width="5.5703125" style="1" customWidth="1"/>
    <col min="2569" max="2569" width="5.28515625" style="1" customWidth="1"/>
    <col min="2570" max="2570" width="44.7109375" style="1" customWidth="1"/>
    <col min="2571" max="2571" width="15.85546875" style="1" bestFit="1" customWidth="1"/>
    <col min="2572" max="2572" width="17.28515625" style="1" customWidth="1"/>
    <col min="2573" max="2573" width="16.7109375" style="1" customWidth="1"/>
    <col min="2574" max="2574" width="11.42578125" style="1"/>
    <col min="2575" max="2575" width="16.28515625" style="1" bestFit="1" customWidth="1"/>
    <col min="2576" max="2576" width="21.7109375" style="1" bestFit="1" customWidth="1"/>
    <col min="2577" max="2821" width="11.42578125" style="1"/>
    <col min="2822" max="2823" width="4.28515625" style="1" customWidth="1"/>
    <col min="2824" max="2824" width="5.5703125" style="1" customWidth="1"/>
    <col min="2825" max="2825" width="5.28515625" style="1" customWidth="1"/>
    <col min="2826" max="2826" width="44.7109375" style="1" customWidth="1"/>
    <col min="2827" max="2827" width="15.85546875" style="1" bestFit="1" customWidth="1"/>
    <col min="2828" max="2828" width="17.28515625" style="1" customWidth="1"/>
    <col min="2829" max="2829" width="16.7109375" style="1" customWidth="1"/>
    <col min="2830" max="2830" width="11.42578125" style="1"/>
    <col min="2831" max="2831" width="16.28515625" style="1" bestFit="1" customWidth="1"/>
    <col min="2832" max="2832" width="21.7109375" style="1" bestFit="1" customWidth="1"/>
    <col min="2833" max="3077" width="11.42578125" style="1"/>
    <col min="3078" max="3079" width="4.28515625" style="1" customWidth="1"/>
    <col min="3080" max="3080" width="5.5703125" style="1" customWidth="1"/>
    <col min="3081" max="3081" width="5.28515625" style="1" customWidth="1"/>
    <col min="3082" max="3082" width="44.7109375" style="1" customWidth="1"/>
    <col min="3083" max="3083" width="15.85546875" style="1" bestFit="1" customWidth="1"/>
    <col min="3084" max="3084" width="17.28515625" style="1" customWidth="1"/>
    <col min="3085" max="3085" width="16.7109375" style="1" customWidth="1"/>
    <col min="3086" max="3086" width="11.42578125" style="1"/>
    <col min="3087" max="3087" width="16.28515625" style="1" bestFit="1" customWidth="1"/>
    <col min="3088" max="3088" width="21.7109375" style="1" bestFit="1" customWidth="1"/>
    <col min="3089" max="3333" width="11.42578125" style="1"/>
    <col min="3334" max="3335" width="4.28515625" style="1" customWidth="1"/>
    <col min="3336" max="3336" width="5.5703125" style="1" customWidth="1"/>
    <col min="3337" max="3337" width="5.28515625" style="1" customWidth="1"/>
    <col min="3338" max="3338" width="44.7109375" style="1" customWidth="1"/>
    <col min="3339" max="3339" width="15.85546875" style="1" bestFit="1" customWidth="1"/>
    <col min="3340" max="3340" width="17.28515625" style="1" customWidth="1"/>
    <col min="3341" max="3341" width="16.7109375" style="1" customWidth="1"/>
    <col min="3342" max="3342" width="11.42578125" style="1"/>
    <col min="3343" max="3343" width="16.28515625" style="1" bestFit="1" customWidth="1"/>
    <col min="3344" max="3344" width="21.7109375" style="1" bestFit="1" customWidth="1"/>
    <col min="3345" max="3589" width="11.42578125" style="1"/>
    <col min="3590" max="3591" width="4.28515625" style="1" customWidth="1"/>
    <col min="3592" max="3592" width="5.5703125" style="1" customWidth="1"/>
    <col min="3593" max="3593" width="5.28515625" style="1" customWidth="1"/>
    <col min="3594" max="3594" width="44.7109375" style="1" customWidth="1"/>
    <col min="3595" max="3595" width="15.85546875" style="1" bestFit="1" customWidth="1"/>
    <col min="3596" max="3596" width="17.28515625" style="1" customWidth="1"/>
    <col min="3597" max="3597" width="16.7109375" style="1" customWidth="1"/>
    <col min="3598" max="3598" width="11.42578125" style="1"/>
    <col min="3599" max="3599" width="16.28515625" style="1" bestFit="1" customWidth="1"/>
    <col min="3600" max="3600" width="21.7109375" style="1" bestFit="1" customWidth="1"/>
    <col min="3601" max="3845" width="11.42578125" style="1"/>
    <col min="3846" max="3847" width="4.28515625" style="1" customWidth="1"/>
    <col min="3848" max="3848" width="5.5703125" style="1" customWidth="1"/>
    <col min="3849" max="3849" width="5.28515625" style="1" customWidth="1"/>
    <col min="3850" max="3850" width="44.7109375" style="1" customWidth="1"/>
    <col min="3851" max="3851" width="15.85546875" style="1" bestFit="1" customWidth="1"/>
    <col min="3852" max="3852" width="17.28515625" style="1" customWidth="1"/>
    <col min="3853" max="3853" width="16.7109375" style="1" customWidth="1"/>
    <col min="3854" max="3854" width="11.42578125" style="1"/>
    <col min="3855" max="3855" width="16.28515625" style="1" bestFit="1" customWidth="1"/>
    <col min="3856" max="3856" width="21.7109375" style="1" bestFit="1" customWidth="1"/>
    <col min="3857" max="4101" width="11.42578125" style="1"/>
    <col min="4102" max="4103" width="4.28515625" style="1" customWidth="1"/>
    <col min="4104" max="4104" width="5.5703125" style="1" customWidth="1"/>
    <col min="4105" max="4105" width="5.28515625" style="1" customWidth="1"/>
    <col min="4106" max="4106" width="44.7109375" style="1" customWidth="1"/>
    <col min="4107" max="4107" width="15.85546875" style="1" bestFit="1" customWidth="1"/>
    <col min="4108" max="4108" width="17.28515625" style="1" customWidth="1"/>
    <col min="4109" max="4109" width="16.7109375" style="1" customWidth="1"/>
    <col min="4110" max="4110" width="11.42578125" style="1"/>
    <col min="4111" max="4111" width="16.28515625" style="1" bestFit="1" customWidth="1"/>
    <col min="4112" max="4112" width="21.7109375" style="1" bestFit="1" customWidth="1"/>
    <col min="4113" max="4357" width="11.42578125" style="1"/>
    <col min="4358" max="4359" width="4.28515625" style="1" customWidth="1"/>
    <col min="4360" max="4360" width="5.5703125" style="1" customWidth="1"/>
    <col min="4361" max="4361" width="5.28515625" style="1" customWidth="1"/>
    <col min="4362" max="4362" width="44.7109375" style="1" customWidth="1"/>
    <col min="4363" max="4363" width="15.85546875" style="1" bestFit="1" customWidth="1"/>
    <col min="4364" max="4364" width="17.28515625" style="1" customWidth="1"/>
    <col min="4365" max="4365" width="16.7109375" style="1" customWidth="1"/>
    <col min="4366" max="4366" width="11.42578125" style="1"/>
    <col min="4367" max="4367" width="16.28515625" style="1" bestFit="1" customWidth="1"/>
    <col min="4368" max="4368" width="21.7109375" style="1" bestFit="1" customWidth="1"/>
    <col min="4369" max="4613" width="11.42578125" style="1"/>
    <col min="4614" max="4615" width="4.28515625" style="1" customWidth="1"/>
    <col min="4616" max="4616" width="5.5703125" style="1" customWidth="1"/>
    <col min="4617" max="4617" width="5.28515625" style="1" customWidth="1"/>
    <col min="4618" max="4618" width="44.7109375" style="1" customWidth="1"/>
    <col min="4619" max="4619" width="15.85546875" style="1" bestFit="1" customWidth="1"/>
    <col min="4620" max="4620" width="17.28515625" style="1" customWidth="1"/>
    <col min="4621" max="4621" width="16.7109375" style="1" customWidth="1"/>
    <col min="4622" max="4622" width="11.42578125" style="1"/>
    <col min="4623" max="4623" width="16.28515625" style="1" bestFit="1" customWidth="1"/>
    <col min="4624" max="4624" width="21.7109375" style="1" bestFit="1" customWidth="1"/>
    <col min="4625" max="4869" width="11.42578125" style="1"/>
    <col min="4870" max="4871" width="4.28515625" style="1" customWidth="1"/>
    <col min="4872" max="4872" width="5.5703125" style="1" customWidth="1"/>
    <col min="4873" max="4873" width="5.28515625" style="1" customWidth="1"/>
    <col min="4874" max="4874" width="44.7109375" style="1" customWidth="1"/>
    <col min="4875" max="4875" width="15.85546875" style="1" bestFit="1" customWidth="1"/>
    <col min="4876" max="4876" width="17.28515625" style="1" customWidth="1"/>
    <col min="4877" max="4877" width="16.7109375" style="1" customWidth="1"/>
    <col min="4878" max="4878" width="11.42578125" style="1"/>
    <col min="4879" max="4879" width="16.28515625" style="1" bestFit="1" customWidth="1"/>
    <col min="4880" max="4880" width="21.7109375" style="1" bestFit="1" customWidth="1"/>
    <col min="4881" max="5125" width="11.42578125" style="1"/>
    <col min="5126" max="5127" width="4.28515625" style="1" customWidth="1"/>
    <col min="5128" max="5128" width="5.5703125" style="1" customWidth="1"/>
    <col min="5129" max="5129" width="5.28515625" style="1" customWidth="1"/>
    <col min="5130" max="5130" width="44.7109375" style="1" customWidth="1"/>
    <col min="5131" max="5131" width="15.85546875" style="1" bestFit="1" customWidth="1"/>
    <col min="5132" max="5132" width="17.28515625" style="1" customWidth="1"/>
    <col min="5133" max="5133" width="16.7109375" style="1" customWidth="1"/>
    <col min="5134" max="5134" width="11.42578125" style="1"/>
    <col min="5135" max="5135" width="16.28515625" style="1" bestFit="1" customWidth="1"/>
    <col min="5136" max="5136" width="21.7109375" style="1" bestFit="1" customWidth="1"/>
    <col min="5137" max="5381" width="11.42578125" style="1"/>
    <col min="5382" max="5383" width="4.28515625" style="1" customWidth="1"/>
    <col min="5384" max="5384" width="5.5703125" style="1" customWidth="1"/>
    <col min="5385" max="5385" width="5.28515625" style="1" customWidth="1"/>
    <col min="5386" max="5386" width="44.7109375" style="1" customWidth="1"/>
    <col min="5387" max="5387" width="15.85546875" style="1" bestFit="1" customWidth="1"/>
    <col min="5388" max="5388" width="17.28515625" style="1" customWidth="1"/>
    <col min="5389" max="5389" width="16.7109375" style="1" customWidth="1"/>
    <col min="5390" max="5390" width="11.42578125" style="1"/>
    <col min="5391" max="5391" width="16.28515625" style="1" bestFit="1" customWidth="1"/>
    <col min="5392" max="5392" width="21.7109375" style="1" bestFit="1" customWidth="1"/>
    <col min="5393" max="5637" width="11.42578125" style="1"/>
    <col min="5638" max="5639" width="4.28515625" style="1" customWidth="1"/>
    <col min="5640" max="5640" width="5.5703125" style="1" customWidth="1"/>
    <col min="5641" max="5641" width="5.28515625" style="1" customWidth="1"/>
    <col min="5642" max="5642" width="44.7109375" style="1" customWidth="1"/>
    <col min="5643" max="5643" width="15.85546875" style="1" bestFit="1" customWidth="1"/>
    <col min="5644" max="5644" width="17.28515625" style="1" customWidth="1"/>
    <col min="5645" max="5645" width="16.7109375" style="1" customWidth="1"/>
    <col min="5646" max="5646" width="11.42578125" style="1"/>
    <col min="5647" max="5647" width="16.28515625" style="1" bestFit="1" customWidth="1"/>
    <col min="5648" max="5648" width="21.7109375" style="1" bestFit="1" customWidth="1"/>
    <col min="5649" max="5893" width="11.42578125" style="1"/>
    <col min="5894" max="5895" width="4.28515625" style="1" customWidth="1"/>
    <col min="5896" max="5896" width="5.5703125" style="1" customWidth="1"/>
    <col min="5897" max="5897" width="5.28515625" style="1" customWidth="1"/>
    <col min="5898" max="5898" width="44.7109375" style="1" customWidth="1"/>
    <col min="5899" max="5899" width="15.85546875" style="1" bestFit="1" customWidth="1"/>
    <col min="5900" max="5900" width="17.28515625" style="1" customWidth="1"/>
    <col min="5901" max="5901" width="16.7109375" style="1" customWidth="1"/>
    <col min="5902" max="5902" width="11.42578125" style="1"/>
    <col min="5903" max="5903" width="16.28515625" style="1" bestFit="1" customWidth="1"/>
    <col min="5904" max="5904" width="21.7109375" style="1" bestFit="1" customWidth="1"/>
    <col min="5905" max="6149" width="11.42578125" style="1"/>
    <col min="6150" max="6151" width="4.28515625" style="1" customWidth="1"/>
    <col min="6152" max="6152" width="5.5703125" style="1" customWidth="1"/>
    <col min="6153" max="6153" width="5.28515625" style="1" customWidth="1"/>
    <col min="6154" max="6154" width="44.7109375" style="1" customWidth="1"/>
    <col min="6155" max="6155" width="15.85546875" style="1" bestFit="1" customWidth="1"/>
    <col min="6156" max="6156" width="17.28515625" style="1" customWidth="1"/>
    <col min="6157" max="6157" width="16.7109375" style="1" customWidth="1"/>
    <col min="6158" max="6158" width="11.42578125" style="1"/>
    <col min="6159" max="6159" width="16.28515625" style="1" bestFit="1" customWidth="1"/>
    <col min="6160" max="6160" width="21.7109375" style="1" bestFit="1" customWidth="1"/>
    <col min="6161" max="6405" width="11.42578125" style="1"/>
    <col min="6406" max="6407" width="4.28515625" style="1" customWidth="1"/>
    <col min="6408" max="6408" width="5.5703125" style="1" customWidth="1"/>
    <col min="6409" max="6409" width="5.28515625" style="1" customWidth="1"/>
    <col min="6410" max="6410" width="44.7109375" style="1" customWidth="1"/>
    <col min="6411" max="6411" width="15.85546875" style="1" bestFit="1" customWidth="1"/>
    <col min="6412" max="6412" width="17.28515625" style="1" customWidth="1"/>
    <col min="6413" max="6413" width="16.7109375" style="1" customWidth="1"/>
    <col min="6414" max="6414" width="11.42578125" style="1"/>
    <col min="6415" max="6415" width="16.28515625" style="1" bestFit="1" customWidth="1"/>
    <col min="6416" max="6416" width="21.7109375" style="1" bestFit="1" customWidth="1"/>
    <col min="6417" max="6661" width="11.42578125" style="1"/>
    <col min="6662" max="6663" width="4.28515625" style="1" customWidth="1"/>
    <col min="6664" max="6664" width="5.5703125" style="1" customWidth="1"/>
    <col min="6665" max="6665" width="5.28515625" style="1" customWidth="1"/>
    <col min="6666" max="6666" width="44.7109375" style="1" customWidth="1"/>
    <col min="6667" max="6667" width="15.85546875" style="1" bestFit="1" customWidth="1"/>
    <col min="6668" max="6668" width="17.28515625" style="1" customWidth="1"/>
    <col min="6669" max="6669" width="16.7109375" style="1" customWidth="1"/>
    <col min="6670" max="6670" width="11.42578125" style="1"/>
    <col min="6671" max="6671" width="16.28515625" style="1" bestFit="1" customWidth="1"/>
    <col min="6672" max="6672" width="21.7109375" style="1" bestFit="1" customWidth="1"/>
    <col min="6673" max="6917" width="11.42578125" style="1"/>
    <col min="6918" max="6919" width="4.28515625" style="1" customWidth="1"/>
    <col min="6920" max="6920" width="5.5703125" style="1" customWidth="1"/>
    <col min="6921" max="6921" width="5.28515625" style="1" customWidth="1"/>
    <col min="6922" max="6922" width="44.7109375" style="1" customWidth="1"/>
    <col min="6923" max="6923" width="15.85546875" style="1" bestFit="1" customWidth="1"/>
    <col min="6924" max="6924" width="17.28515625" style="1" customWidth="1"/>
    <col min="6925" max="6925" width="16.7109375" style="1" customWidth="1"/>
    <col min="6926" max="6926" width="11.42578125" style="1"/>
    <col min="6927" max="6927" width="16.28515625" style="1" bestFit="1" customWidth="1"/>
    <col min="6928" max="6928" width="21.7109375" style="1" bestFit="1" customWidth="1"/>
    <col min="6929" max="7173" width="11.42578125" style="1"/>
    <col min="7174" max="7175" width="4.28515625" style="1" customWidth="1"/>
    <col min="7176" max="7176" width="5.5703125" style="1" customWidth="1"/>
    <col min="7177" max="7177" width="5.28515625" style="1" customWidth="1"/>
    <col min="7178" max="7178" width="44.7109375" style="1" customWidth="1"/>
    <col min="7179" max="7179" width="15.85546875" style="1" bestFit="1" customWidth="1"/>
    <col min="7180" max="7180" width="17.28515625" style="1" customWidth="1"/>
    <col min="7181" max="7181" width="16.7109375" style="1" customWidth="1"/>
    <col min="7182" max="7182" width="11.42578125" style="1"/>
    <col min="7183" max="7183" width="16.28515625" style="1" bestFit="1" customWidth="1"/>
    <col min="7184" max="7184" width="21.7109375" style="1" bestFit="1" customWidth="1"/>
    <col min="7185" max="7429" width="11.42578125" style="1"/>
    <col min="7430" max="7431" width="4.28515625" style="1" customWidth="1"/>
    <col min="7432" max="7432" width="5.5703125" style="1" customWidth="1"/>
    <col min="7433" max="7433" width="5.28515625" style="1" customWidth="1"/>
    <col min="7434" max="7434" width="44.7109375" style="1" customWidth="1"/>
    <col min="7435" max="7435" width="15.85546875" style="1" bestFit="1" customWidth="1"/>
    <col min="7436" max="7436" width="17.28515625" style="1" customWidth="1"/>
    <col min="7437" max="7437" width="16.7109375" style="1" customWidth="1"/>
    <col min="7438" max="7438" width="11.42578125" style="1"/>
    <col min="7439" max="7439" width="16.28515625" style="1" bestFit="1" customWidth="1"/>
    <col min="7440" max="7440" width="21.7109375" style="1" bestFit="1" customWidth="1"/>
    <col min="7441" max="7685" width="11.42578125" style="1"/>
    <col min="7686" max="7687" width="4.28515625" style="1" customWidth="1"/>
    <col min="7688" max="7688" width="5.5703125" style="1" customWidth="1"/>
    <col min="7689" max="7689" width="5.28515625" style="1" customWidth="1"/>
    <col min="7690" max="7690" width="44.7109375" style="1" customWidth="1"/>
    <col min="7691" max="7691" width="15.85546875" style="1" bestFit="1" customWidth="1"/>
    <col min="7692" max="7692" width="17.28515625" style="1" customWidth="1"/>
    <col min="7693" max="7693" width="16.7109375" style="1" customWidth="1"/>
    <col min="7694" max="7694" width="11.42578125" style="1"/>
    <col min="7695" max="7695" width="16.28515625" style="1" bestFit="1" customWidth="1"/>
    <col min="7696" max="7696" width="21.7109375" style="1" bestFit="1" customWidth="1"/>
    <col min="7697" max="7941" width="11.42578125" style="1"/>
    <col min="7942" max="7943" width="4.28515625" style="1" customWidth="1"/>
    <col min="7944" max="7944" width="5.5703125" style="1" customWidth="1"/>
    <col min="7945" max="7945" width="5.28515625" style="1" customWidth="1"/>
    <col min="7946" max="7946" width="44.7109375" style="1" customWidth="1"/>
    <col min="7947" max="7947" width="15.85546875" style="1" bestFit="1" customWidth="1"/>
    <col min="7948" max="7948" width="17.28515625" style="1" customWidth="1"/>
    <col min="7949" max="7949" width="16.7109375" style="1" customWidth="1"/>
    <col min="7950" max="7950" width="11.42578125" style="1"/>
    <col min="7951" max="7951" width="16.28515625" style="1" bestFit="1" customWidth="1"/>
    <col min="7952" max="7952" width="21.7109375" style="1" bestFit="1" customWidth="1"/>
    <col min="7953" max="8197" width="11.42578125" style="1"/>
    <col min="8198" max="8199" width="4.28515625" style="1" customWidth="1"/>
    <col min="8200" max="8200" width="5.5703125" style="1" customWidth="1"/>
    <col min="8201" max="8201" width="5.28515625" style="1" customWidth="1"/>
    <col min="8202" max="8202" width="44.7109375" style="1" customWidth="1"/>
    <col min="8203" max="8203" width="15.85546875" style="1" bestFit="1" customWidth="1"/>
    <col min="8204" max="8204" width="17.28515625" style="1" customWidth="1"/>
    <col min="8205" max="8205" width="16.7109375" style="1" customWidth="1"/>
    <col min="8206" max="8206" width="11.42578125" style="1"/>
    <col min="8207" max="8207" width="16.28515625" style="1" bestFit="1" customWidth="1"/>
    <col min="8208" max="8208" width="21.7109375" style="1" bestFit="1" customWidth="1"/>
    <col min="8209" max="8453" width="11.42578125" style="1"/>
    <col min="8454" max="8455" width="4.28515625" style="1" customWidth="1"/>
    <col min="8456" max="8456" width="5.5703125" style="1" customWidth="1"/>
    <col min="8457" max="8457" width="5.28515625" style="1" customWidth="1"/>
    <col min="8458" max="8458" width="44.7109375" style="1" customWidth="1"/>
    <col min="8459" max="8459" width="15.85546875" style="1" bestFit="1" customWidth="1"/>
    <col min="8460" max="8460" width="17.28515625" style="1" customWidth="1"/>
    <col min="8461" max="8461" width="16.7109375" style="1" customWidth="1"/>
    <col min="8462" max="8462" width="11.42578125" style="1"/>
    <col min="8463" max="8463" width="16.28515625" style="1" bestFit="1" customWidth="1"/>
    <col min="8464" max="8464" width="21.7109375" style="1" bestFit="1" customWidth="1"/>
    <col min="8465" max="8709" width="11.42578125" style="1"/>
    <col min="8710" max="8711" width="4.28515625" style="1" customWidth="1"/>
    <col min="8712" max="8712" width="5.5703125" style="1" customWidth="1"/>
    <col min="8713" max="8713" width="5.28515625" style="1" customWidth="1"/>
    <col min="8714" max="8714" width="44.7109375" style="1" customWidth="1"/>
    <col min="8715" max="8715" width="15.85546875" style="1" bestFit="1" customWidth="1"/>
    <col min="8716" max="8716" width="17.28515625" style="1" customWidth="1"/>
    <col min="8717" max="8717" width="16.7109375" style="1" customWidth="1"/>
    <col min="8718" max="8718" width="11.42578125" style="1"/>
    <col min="8719" max="8719" width="16.28515625" style="1" bestFit="1" customWidth="1"/>
    <col min="8720" max="8720" width="21.7109375" style="1" bestFit="1" customWidth="1"/>
    <col min="8721" max="8965" width="11.42578125" style="1"/>
    <col min="8966" max="8967" width="4.28515625" style="1" customWidth="1"/>
    <col min="8968" max="8968" width="5.5703125" style="1" customWidth="1"/>
    <col min="8969" max="8969" width="5.28515625" style="1" customWidth="1"/>
    <col min="8970" max="8970" width="44.7109375" style="1" customWidth="1"/>
    <col min="8971" max="8971" width="15.85546875" style="1" bestFit="1" customWidth="1"/>
    <col min="8972" max="8972" width="17.28515625" style="1" customWidth="1"/>
    <col min="8973" max="8973" width="16.7109375" style="1" customWidth="1"/>
    <col min="8974" max="8974" width="11.42578125" style="1"/>
    <col min="8975" max="8975" width="16.28515625" style="1" bestFit="1" customWidth="1"/>
    <col min="8976" max="8976" width="21.7109375" style="1" bestFit="1" customWidth="1"/>
    <col min="8977" max="9221" width="11.42578125" style="1"/>
    <col min="9222" max="9223" width="4.28515625" style="1" customWidth="1"/>
    <col min="9224" max="9224" width="5.5703125" style="1" customWidth="1"/>
    <col min="9225" max="9225" width="5.28515625" style="1" customWidth="1"/>
    <col min="9226" max="9226" width="44.7109375" style="1" customWidth="1"/>
    <col min="9227" max="9227" width="15.85546875" style="1" bestFit="1" customWidth="1"/>
    <col min="9228" max="9228" width="17.28515625" style="1" customWidth="1"/>
    <col min="9229" max="9229" width="16.7109375" style="1" customWidth="1"/>
    <col min="9230" max="9230" width="11.42578125" style="1"/>
    <col min="9231" max="9231" width="16.28515625" style="1" bestFit="1" customWidth="1"/>
    <col min="9232" max="9232" width="21.7109375" style="1" bestFit="1" customWidth="1"/>
    <col min="9233" max="9477" width="11.42578125" style="1"/>
    <col min="9478" max="9479" width="4.28515625" style="1" customWidth="1"/>
    <col min="9480" max="9480" width="5.5703125" style="1" customWidth="1"/>
    <col min="9481" max="9481" width="5.28515625" style="1" customWidth="1"/>
    <col min="9482" max="9482" width="44.7109375" style="1" customWidth="1"/>
    <col min="9483" max="9483" width="15.85546875" style="1" bestFit="1" customWidth="1"/>
    <col min="9484" max="9484" width="17.28515625" style="1" customWidth="1"/>
    <col min="9485" max="9485" width="16.7109375" style="1" customWidth="1"/>
    <col min="9486" max="9486" width="11.42578125" style="1"/>
    <col min="9487" max="9487" width="16.28515625" style="1" bestFit="1" customWidth="1"/>
    <col min="9488" max="9488" width="21.7109375" style="1" bestFit="1" customWidth="1"/>
    <col min="9489" max="9733" width="11.42578125" style="1"/>
    <col min="9734" max="9735" width="4.28515625" style="1" customWidth="1"/>
    <col min="9736" max="9736" width="5.5703125" style="1" customWidth="1"/>
    <col min="9737" max="9737" width="5.28515625" style="1" customWidth="1"/>
    <col min="9738" max="9738" width="44.7109375" style="1" customWidth="1"/>
    <col min="9739" max="9739" width="15.85546875" style="1" bestFit="1" customWidth="1"/>
    <col min="9740" max="9740" width="17.28515625" style="1" customWidth="1"/>
    <col min="9741" max="9741" width="16.7109375" style="1" customWidth="1"/>
    <col min="9742" max="9742" width="11.42578125" style="1"/>
    <col min="9743" max="9743" width="16.28515625" style="1" bestFit="1" customWidth="1"/>
    <col min="9744" max="9744" width="21.7109375" style="1" bestFit="1" customWidth="1"/>
    <col min="9745" max="9989" width="11.42578125" style="1"/>
    <col min="9990" max="9991" width="4.28515625" style="1" customWidth="1"/>
    <col min="9992" max="9992" width="5.5703125" style="1" customWidth="1"/>
    <col min="9993" max="9993" width="5.28515625" style="1" customWidth="1"/>
    <col min="9994" max="9994" width="44.7109375" style="1" customWidth="1"/>
    <col min="9995" max="9995" width="15.85546875" style="1" bestFit="1" customWidth="1"/>
    <col min="9996" max="9996" width="17.28515625" style="1" customWidth="1"/>
    <col min="9997" max="9997" width="16.7109375" style="1" customWidth="1"/>
    <col min="9998" max="9998" width="11.42578125" style="1"/>
    <col min="9999" max="9999" width="16.28515625" style="1" bestFit="1" customWidth="1"/>
    <col min="10000" max="10000" width="21.7109375" style="1" bestFit="1" customWidth="1"/>
    <col min="10001" max="10245" width="11.42578125" style="1"/>
    <col min="10246" max="10247" width="4.28515625" style="1" customWidth="1"/>
    <col min="10248" max="10248" width="5.5703125" style="1" customWidth="1"/>
    <col min="10249" max="10249" width="5.28515625" style="1" customWidth="1"/>
    <col min="10250" max="10250" width="44.7109375" style="1" customWidth="1"/>
    <col min="10251" max="10251" width="15.85546875" style="1" bestFit="1" customWidth="1"/>
    <col min="10252" max="10252" width="17.28515625" style="1" customWidth="1"/>
    <col min="10253" max="10253" width="16.7109375" style="1" customWidth="1"/>
    <col min="10254" max="10254" width="11.42578125" style="1"/>
    <col min="10255" max="10255" width="16.28515625" style="1" bestFit="1" customWidth="1"/>
    <col min="10256" max="10256" width="21.7109375" style="1" bestFit="1" customWidth="1"/>
    <col min="10257" max="10501" width="11.42578125" style="1"/>
    <col min="10502" max="10503" width="4.28515625" style="1" customWidth="1"/>
    <col min="10504" max="10504" width="5.5703125" style="1" customWidth="1"/>
    <col min="10505" max="10505" width="5.28515625" style="1" customWidth="1"/>
    <col min="10506" max="10506" width="44.7109375" style="1" customWidth="1"/>
    <col min="10507" max="10507" width="15.85546875" style="1" bestFit="1" customWidth="1"/>
    <col min="10508" max="10508" width="17.28515625" style="1" customWidth="1"/>
    <col min="10509" max="10509" width="16.7109375" style="1" customWidth="1"/>
    <col min="10510" max="10510" width="11.42578125" style="1"/>
    <col min="10511" max="10511" width="16.28515625" style="1" bestFit="1" customWidth="1"/>
    <col min="10512" max="10512" width="21.7109375" style="1" bestFit="1" customWidth="1"/>
    <col min="10513" max="10757" width="11.42578125" style="1"/>
    <col min="10758" max="10759" width="4.28515625" style="1" customWidth="1"/>
    <col min="10760" max="10760" width="5.5703125" style="1" customWidth="1"/>
    <col min="10761" max="10761" width="5.28515625" style="1" customWidth="1"/>
    <col min="10762" max="10762" width="44.7109375" style="1" customWidth="1"/>
    <col min="10763" max="10763" width="15.85546875" style="1" bestFit="1" customWidth="1"/>
    <col min="10764" max="10764" width="17.28515625" style="1" customWidth="1"/>
    <col min="10765" max="10765" width="16.7109375" style="1" customWidth="1"/>
    <col min="10766" max="10766" width="11.42578125" style="1"/>
    <col min="10767" max="10767" width="16.28515625" style="1" bestFit="1" customWidth="1"/>
    <col min="10768" max="10768" width="21.7109375" style="1" bestFit="1" customWidth="1"/>
    <col min="10769" max="11013" width="11.42578125" style="1"/>
    <col min="11014" max="11015" width="4.28515625" style="1" customWidth="1"/>
    <col min="11016" max="11016" width="5.5703125" style="1" customWidth="1"/>
    <col min="11017" max="11017" width="5.28515625" style="1" customWidth="1"/>
    <col min="11018" max="11018" width="44.7109375" style="1" customWidth="1"/>
    <col min="11019" max="11019" width="15.85546875" style="1" bestFit="1" customWidth="1"/>
    <col min="11020" max="11020" width="17.28515625" style="1" customWidth="1"/>
    <col min="11021" max="11021" width="16.7109375" style="1" customWidth="1"/>
    <col min="11022" max="11022" width="11.42578125" style="1"/>
    <col min="11023" max="11023" width="16.28515625" style="1" bestFit="1" customWidth="1"/>
    <col min="11024" max="11024" width="21.7109375" style="1" bestFit="1" customWidth="1"/>
    <col min="11025" max="11269" width="11.42578125" style="1"/>
    <col min="11270" max="11271" width="4.28515625" style="1" customWidth="1"/>
    <col min="11272" max="11272" width="5.5703125" style="1" customWidth="1"/>
    <col min="11273" max="11273" width="5.28515625" style="1" customWidth="1"/>
    <col min="11274" max="11274" width="44.7109375" style="1" customWidth="1"/>
    <col min="11275" max="11275" width="15.85546875" style="1" bestFit="1" customWidth="1"/>
    <col min="11276" max="11276" width="17.28515625" style="1" customWidth="1"/>
    <col min="11277" max="11277" width="16.7109375" style="1" customWidth="1"/>
    <col min="11278" max="11278" width="11.42578125" style="1"/>
    <col min="11279" max="11279" width="16.28515625" style="1" bestFit="1" customWidth="1"/>
    <col min="11280" max="11280" width="21.7109375" style="1" bestFit="1" customWidth="1"/>
    <col min="11281" max="11525" width="11.42578125" style="1"/>
    <col min="11526" max="11527" width="4.28515625" style="1" customWidth="1"/>
    <col min="11528" max="11528" width="5.5703125" style="1" customWidth="1"/>
    <col min="11529" max="11529" width="5.28515625" style="1" customWidth="1"/>
    <col min="11530" max="11530" width="44.7109375" style="1" customWidth="1"/>
    <col min="11531" max="11531" width="15.85546875" style="1" bestFit="1" customWidth="1"/>
    <col min="11532" max="11532" width="17.28515625" style="1" customWidth="1"/>
    <col min="11533" max="11533" width="16.7109375" style="1" customWidth="1"/>
    <col min="11534" max="11534" width="11.42578125" style="1"/>
    <col min="11535" max="11535" width="16.28515625" style="1" bestFit="1" customWidth="1"/>
    <col min="11536" max="11536" width="21.7109375" style="1" bestFit="1" customWidth="1"/>
    <col min="11537" max="11781" width="11.42578125" style="1"/>
    <col min="11782" max="11783" width="4.28515625" style="1" customWidth="1"/>
    <col min="11784" max="11784" width="5.5703125" style="1" customWidth="1"/>
    <col min="11785" max="11785" width="5.28515625" style="1" customWidth="1"/>
    <col min="11786" max="11786" width="44.7109375" style="1" customWidth="1"/>
    <col min="11787" max="11787" width="15.85546875" style="1" bestFit="1" customWidth="1"/>
    <col min="11788" max="11788" width="17.28515625" style="1" customWidth="1"/>
    <col min="11789" max="11789" width="16.7109375" style="1" customWidth="1"/>
    <col min="11790" max="11790" width="11.42578125" style="1"/>
    <col min="11791" max="11791" width="16.28515625" style="1" bestFit="1" customWidth="1"/>
    <col min="11792" max="11792" width="21.7109375" style="1" bestFit="1" customWidth="1"/>
    <col min="11793" max="12037" width="11.42578125" style="1"/>
    <col min="12038" max="12039" width="4.28515625" style="1" customWidth="1"/>
    <col min="12040" max="12040" width="5.5703125" style="1" customWidth="1"/>
    <col min="12041" max="12041" width="5.28515625" style="1" customWidth="1"/>
    <col min="12042" max="12042" width="44.7109375" style="1" customWidth="1"/>
    <col min="12043" max="12043" width="15.85546875" style="1" bestFit="1" customWidth="1"/>
    <col min="12044" max="12044" width="17.28515625" style="1" customWidth="1"/>
    <col min="12045" max="12045" width="16.7109375" style="1" customWidth="1"/>
    <col min="12046" max="12046" width="11.42578125" style="1"/>
    <col min="12047" max="12047" width="16.28515625" style="1" bestFit="1" customWidth="1"/>
    <col min="12048" max="12048" width="21.7109375" style="1" bestFit="1" customWidth="1"/>
    <col min="12049" max="12293" width="11.42578125" style="1"/>
    <col min="12294" max="12295" width="4.28515625" style="1" customWidth="1"/>
    <col min="12296" max="12296" width="5.5703125" style="1" customWidth="1"/>
    <col min="12297" max="12297" width="5.28515625" style="1" customWidth="1"/>
    <col min="12298" max="12298" width="44.7109375" style="1" customWidth="1"/>
    <col min="12299" max="12299" width="15.85546875" style="1" bestFit="1" customWidth="1"/>
    <col min="12300" max="12300" width="17.28515625" style="1" customWidth="1"/>
    <col min="12301" max="12301" width="16.7109375" style="1" customWidth="1"/>
    <col min="12302" max="12302" width="11.42578125" style="1"/>
    <col min="12303" max="12303" width="16.28515625" style="1" bestFit="1" customWidth="1"/>
    <col min="12304" max="12304" width="21.7109375" style="1" bestFit="1" customWidth="1"/>
    <col min="12305" max="12549" width="11.42578125" style="1"/>
    <col min="12550" max="12551" width="4.28515625" style="1" customWidth="1"/>
    <col min="12552" max="12552" width="5.5703125" style="1" customWidth="1"/>
    <col min="12553" max="12553" width="5.28515625" style="1" customWidth="1"/>
    <col min="12554" max="12554" width="44.7109375" style="1" customWidth="1"/>
    <col min="12555" max="12555" width="15.85546875" style="1" bestFit="1" customWidth="1"/>
    <col min="12556" max="12556" width="17.28515625" style="1" customWidth="1"/>
    <col min="12557" max="12557" width="16.7109375" style="1" customWidth="1"/>
    <col min="12558" max="12558" width="11.42578125" style="1"/>
    <col min="12559" max="12559" width="16.28515625" style="1" bestFit="1" customWidth="1"/>
    <col min="12560" max="12560" width="21.7109375" style="1" bestFit="1" customWidth="1"/>
    <col min="12561" max="12805" width="11.42578125" style="1"/>
    <col min="12806" max="12807" width="4.28515625" style="1" customWidth="1"/>
    <col min="12808" max="12808" width="5.5703125" style="1" customWidth="1"/>
    <col min="12809" max="12809" width="5.28515625" style="1" customWidth="1"/>
    <col min="12810" max="12810" width="44.7109375" style="1" customWidth="1"/>
    <col min="12811" max="12811" width="15.85546875" style="1" bestFit="1" customWidth="1"/>
    <col min="12812" max="12812" width="17.28515625" style="1" customWidth="1"/>
    <col min="12813" max="12813" width="16.7109375" style="1" customWidth="1"/>
    <col min="12814" max="12814" width="11.42578125" style="1"/>
    <col min="12815" max="12815" width="16.28515625" style="1" bestFit="1" customWidth="1"/>
    <col min="12816" max="12816" width="21.7109375" style="1" bestFit="1" customWidth="1"/>
    <col min="12817" max="13061" width="11.42578125" style="1"/>
    <col min="13062" max="13063" width="4.28515625" style="1" customWidth="1"/>
    <col min="13064" max="13064" width="5.5703125" style="1" customWidth="1"/>
    <col min="13065" max="13065" width="5.28515625" style="1" customWidth="1"/>
    <col min="13066" max="13066" width="44.7109375" style="1" customWidth="1"/>
    <col min="13067" max="13067" width="15.85546875" style="1" bestFit="1" customWidth="1"/>
    <col min="13068" max="13068" width="17.28515625" style="1" customWidth="1"/>
    <col min="13069" max="13069" width="16.7109375" style="1" customWidth="1"/>
    <col min="13070" max="13070" width="11.42578125" style="1"/>
    <col min="13071" max="13071" width="16.28515625" style="1" bestFit="1" customWidth="1"/>
    <col min="13072" max="13072" width="21.7109375" style="1" bestFit="1" customWidth="1"/>
    <col min="13073" max="13317" width="11.42578125" style="1"/>
    <col min="13318" max="13319" width="4.28515625" style="1" customWidth="1"/>
    <col min="13320" max="13320" width="5.5703125" style="1" customWidth="1"/>
    <col min="13321" max="13321" width="5.28515625" style="1" customWidth="1"/>
    <col min="13322" max="13322" width="44.7109375" style="1" customWidth="1"/>
    <col min="13323" max="13323" width="15.85546875" style="1" bestFit="1" customWidth="1"/>
    <col min="13324" max="13324" width="17.28515625" style="1" customWidth="1"/>
    <col min="13325" max="13325" width="16.7109375" style="1" customWidth="1"/>
    <col min="13326" max="13326" width="11.42578125" style="1"/>
    <col min="13327" max="13327" width="16.28515625" style="1" bestFit="1" customWidth="1"/>
    <col min="13328" max="13328" width="21.7109375" style="1" bestFit="1" customWidth="1"/>
    <col min="13329" max="13573" width="11.42578125" style="1"/>
    <col min="13574" max="13575" width="4.28515625" style="1" customWidth="1"/>
    <col min="13576" max="13576" width="5.5703125" style="1" customWidth="1"/>
    <col min="13577" max="13577" width="5.28515625" style="1" customWidth="1"/>
    <col min="13578" max="13578" width="44.7109375" style="1" customWidth="1"/>
    <col min="13579" max="13579" width="15.85546875" style="1" bestFit="1" customWidth="1"/>
    <col min="13580" max="13580" width="17.28515625" style="1" customWidth="1"/>
    <col min="13581" max="13581" width="16.7109375" style="1" customWidth="1"/>
    <col min="13582" max="13582" width="11.42578125" style="1"/>
    <col min="13583" max="13583" width="16.28515625" style="1" bestFit="1" customWidth="1"/>
    <col min="13584" max="13584" width="21.7109375" style="1" bestFit="1" customWidth="1"/>
    <col min="13585" max="13829" width="11.42578125" style="1"/>
    <col min="13830" max="13831" width="4.28515625" style="1" customWidth="1"/>
    <col min="13832" max="13832" width="5.5703125" style="1" customWidth="1"/>
    <col min="13833" max="13833" width="5.28515625" style="1" customWidth="1"/>
    <col min="13834" max="13834" width="44.7109375" style="1" customWidth="1"/>
    <col min="13835" max="13835" width="15.85546875" style="1" bestFit="1" customWidth="1"/>
    <col min="13836" max="13836" width="17.28515625" style="1" customWidth="1"/>
    <col min="13837" max="13837" width="16.7109375" style="1" customWidth="1"/>
    <col min="13838" max="13838" width="11.42578125" style="1"/>
    <col min="13839" max="13839" width="16.28515625" style="1" bestFit="1" customWidth="1"/>
    <col min="13840" max="13840" width="21.7109375" style="1" bestFit="1" customWidth="1"/>
    <col min="13841" max="14085" width="11.42578125" style="1"/>
    <col min="14086" max="14087" width="4.28515625" style="1" customWidth="1"/>
    <col min="14088" max="14088" width="5.5703125" style="1" customWidth="1"/>
    <col min="14089" max="14089" width="5.28515625" style="1" customWidth="1"/>
    <col min="14090" max="14090" width="44.7109375" style="1" customWidth="1"/>
    <col min="14091" max="14091" width="15.85546875" style="1" bestFit="1" customWidth="1"/>
    <col min="14092" max="14092" width="17.28515625" style="1" customWidth="1"/>
    <col min="14093" max="14093" width="16.7109375" style="1" customWidth="1"/>
    <col min="14094" max="14094" width="11.42578125" style="1"/>
    <col min="14095" max="14095" width="16.28515625" style="1" bestFit="1" customWidth="1"/>
    <col min="14096" max="14096" width="21.7109375" style="1" bestFit="1" customWidth="1"/>
    <col min="14097" max="14341" width="11.42578125" style="1"/>
    <col min="14342" max="14343" width="4.28515625" style="1" customWidth="1"/>
    <col min="14344" max="14344" width="5.5703125" style="1" customWidth="1"/>
    <col min="14345" max="14345" width="5.28515625" style="1" customWidth="1"/>
    <col min="14346" max="14346" width="44.7109375" style="1" customWidth="1"/>
    <col min="14347" max="14347" width="15.85546875" style="1" bestFit="1" customWidth="1"/>
    <col min="14348" max="14348" width="17.28515625" style="1" customWidth="1"/>
    <col min="14349" max="14349" width="16.7109375" style="1" customWidth="1"/>
    <col min="14350" max="14350" width="11.42578125" style="1"/>
    <col min="14351" max="14351" width="16.28515625" style="1" bestFit="1" customWidth="1"/>
    <col min="14352" max="14352" width="21.7109375" style="1" bestFit="1" customWidth="1"/>
    <col min="14353" max="14597" width="11.42578125" style="1"/>
    <col min="14598" max="14599" width="4.28515625" style="1" customWidth="1"/>
    <col min="14600" max="14600" width="5.5703125" style="1" customWidth="1"/>
    <col min="14601" max="14601" width="5.28515625" style="1" customWidth="1"/>
    <col min="14602" max="14602" width="44.7109375" style="1" customWidth="1"/>
    <col min="14603" max="14603" width="15.85546875" style="1" bestFit="1" customWidth="1"/>
    <col min="14604" max="14604" width="17.28515625" style="1" customWidth="1"/>
    <col min="14605" max="14605" width="16.7109375" style="1" customWidth="1"/>
    <col min="14606" max="14606" width="11.42578125" style="1"/>
    <col min="14607" max="14607" width="16.28515625" style="1" bestFit="1" customWidth="1"/>
    <col min="14608" max="14608" width="21.7109375" style="1" bestFit="1" customWidth="1"/>
    <col min="14609" max="14853" width="11.42578125" style="1"/>
    <col min="14854" max="14855" width="4.28515625" style="1" customWidth="1"/>
    <col min="14856" max="14856" width="5.5703125" style="1" customWidth="1"/>
    <col min="14857" max="14857" width="5.28515625" style="1" customWidth="1"/>
    <col min="14858" max="14858" width="44.7109375" style="1" customWidth="1"/>
    <col min="14859" max="14859" width="15.85546875" style="1" bestFit="1" customWidth="1"/>
    <col min="14860" max="14860" width="17.28515625" style="1" customWidth="1"/>
    <col min="14861" max="14861" width="16.7109375" style="1" customWidth="1"/>
    <col min="14862" max="14862" width="11.42578125" style="1"/>
    <col min="14863" max="14863" width="16.28515625" style="1" bestFit="1" customWidth="1"/>
    <col min="14864" max="14864" width="21.7109375" style="1" bestFit="1" customWidth="1"/>
    <col min="14865" max="15109" width="11.42578125" style="1"/>
    <col min="15110" max="15111" width="4.28515625" style="1" customWidth="1"/>
    <col min="15112" max="15112" width="5.5703125" style="1" customWidth="1"/>
    <col min="15113" max="15113" width="5.28515625" style="1" customWidth="1"/>
    <col min="15114" max="15114" width="44.7109375" style="1" customWidth="1"/>
    <col min="15115" max="15115" width="15.85546875" style="1" bestFit="1" customWidth="1"/>
    <col min="15116" max="15116" width="17.28515625" style="1" customWidth="1"/>
    <col min="15117" max="15117" width="16.7109375" style="1" customWidth="1"/>
    <col min="15118" max="15118" width="11.42578125" style="1"/>
    <col min="15119" max="15119" width="16.28515625" style="1" bestFit="1" customWidth="1"/>
    <col min="15120" max="15120" width="21.7109375" style="1" bestFit="1" customWidth="1"/>
    <col min="15121" max="15365" width="11.42578125" style="1"/>
    <col min="15366" max="15367" width="4.28515625" style="1" customWidth="1"/>
    <col min="15368" max="15368" width="5.5703125" style="1" customWidth="1"/>
    <col min="15369" max="15369" width="5.28515625" style="1" customWidth="1"/>
    <col min="15370" max="15370" width="44.7109375" style="1" customWidth="1"/>
    <col min="15371" max="15371" width="15.85546875" style="1" bestFit="1" customWidth="1"/>
    <col min="15372" max="15372" width="17.28515625" style="1" customWidth="1"/>
    <col min="15373" max="15373" width="16.7109375" style="1" customWidth="1"/>
    <col min="15374" max="15374" width="11.42578125" style="1"/>
    <col min="15375" max="15375" width="16.28515625" style="1" bestFit="1" customWidth="1"/>
    <col min="15376" max="15376" width="21.7109375" style="1" bestFit="1" customWidth="1"/>
    <col min="15377" max="15621" width="11.42578125" style="1"/>
    <col min="15622" max="15623" width="4.28515625" style="1" customWidth="1"/>
    <col min="15624" max="15624" width="5.5703125" style="1" customWidth="1"/>
    <col min="15625" max="15625" width="5.28515625" style="1" customWidth="1"/>
    <col min="15626" max="15626" width="44.7109375" style="1" customWidth="1"/>
    <col min="15627" max="15627" width="15.85546875" style="1" bestFit="1" customWidth="1"/>
    <col min="15628" max="15628" width="17.28515625" style="1" customWidth="1"/>
    <col min="15629" max="15629" width="16.7109375" style="1" customWidth="1"/>
    <col min="15630" max="15630" width="11.42578125" style="1"/>
    <col min="15631" max="15631" width="16.28515625" style="1" bestFit="1" customWidth="1"/>
    <col min="15632" max="15632" width="21.7109375" style="1" bestFit="1" customWidth="1"/>
    <col min="15633" max="15877" width="11.42578125" style="1"/>
    <col min="15878" max="15879" width="4.28515625" style="1" customWidth="1"/>
    <col min="15880" max="15880" width="5.5703125" style="1" customWidth="1"/>
    <col min="15881" max="15881" width="5.28515625" style="1" customWidth="1"/>
    <col min="15882" max="15882" width="44.7109375" style="1" customWidth="1"/>
    <col min="15883" max="15883" width="15.85546875" style="1" bestFit="1" customWidth="1"/>
    <col min="15884" max="15884" width="17.28515625" style="1" customWidth="1"/>
    <col min="15885" max="15885" width="16.7109375" style="1" customWidth="1"/>
    <col min="15886" max="15886" width="11.42578125" style="1"/>
    <col min="15887" max="15887" width="16.28515625" style="1" bestFit="1" customWidth="1"/>
    <col min="15888" max="15888" width="21.7109375" style="1" bestFit="1" customWidth="1"/>
    <col min="15889" max="16133" width="11.42578125" style="1"/>
    <col min="16134" max="16135" width="4.28515625" style="1" customWidth="1"/>
    <col min="16136" max="16136" width="5.5703125" style="1" customWidth="1"/>
    <col min="16137" max="16137" width="5.28515625" style="1" customWidth="1"/>
    <col min="16138" max="16138" width="44.7109375" style="1" customWidth="1"/>
    <col min="16139" max="16139" width="15.85546875" style="1" bestFit="1" customWidth="1"/>
    <col min="16140" max="16140" width="17.28515625" style="1" customWidth="1"/>
    <col min="16141" max="16141" width="16.7109375" style="1" customWidth="1"/>
    <col min="16142" max="16142" width="11.42578125" style="1"/>
    <col min="16143" max="16143" width="16.28515625" style="1" bestFit="1" customWidth="1"/>
    <col min="16144" max="16144" width="21.7109375" style="1" bestFit="1" customWidth="1"/>
    <col min="16145" max="16384" width="11.42578125" style="1"/>
  </cols>
  <sheetData>
    <row r="1" spans="1:13" s="19" customFormat="1" x14ac:dyDescent="0.2">
      <c r="A1" s="19" t="s">
        <v>58</v>
      </c>
      <c r="D1" s="2"/>
      <c r="G1" s="27"/>
      <c r="I1" s="27"/>
      <c r="K1" s="27"/>
    </row>
    <row r="2" spans="1:13" s="19" customFormat="1" x14ac:dyDescent="0.2">
      <c r="A2" s="19" t="s">
        <v>59</v>
      </c>
      <c r="D2" s="2"/>
      <c r="G2" s="27"/>
      <c r="I2" s="27"/>
      <c r="K2" s="27"/>
    </row>
    <row r="3" spans="1:13" ht="8.25" customHeight="1" x14ac:dyDescent="0.25">
      <c r="A3" s="306"/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</row>
    <row r="4" spans="1:13" ht="22.5" customHeight="1" x14ac:dyDescent="0.2">
      <c r="A4" s="307" t="s">
        <v>136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</row>
    <row r="5" spans="1:13" s="39" customFormat="1" ht="19.5" customHeight="1" x14ac:dyDescent="0.2">
      <c r="A5" s="307" t="s">
        <v>137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</row>
    <row r="6" spans="1:13" s="14" customFormat="1" ht="15.75" x14ac:dyDescent="0.2">
      <c r="A6" s="307" t="s">
        <v>21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8"/>
      <c r="M6" s="308"/>
    </row>
    <row r="7" spans="1:13" s="14" customFormat="1" ht="15.75" x14ac:dyDescent="0.2">
      <c r="A7" s="309" t="s">
        <v>57</v>
      </c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</row>
    <row r="8" spans="1:13" ht="46.5" customHeight="1" x14ac:dyDescent="0.2">
      <c r="A8" s="296" t="s">
        <v>98</v>
      </c>
      <c r="B8" s="296"/>
      <c r="C8" s="296"/>
      <c r="D8" s="296"/>
      <c r="E8" s="297"/>
      <c r="F8" s="302" t="s">
        <v>99</v>
      </c>
      <c r="G8" s="303"/>
      <c r="H8" s="304" t="s">
        <v>100</v>
      </c>
      <c r="I8" s="305"/>
      <c r="J8" s="304" t="s">
        <v>101</v>
      </c>
      <c r="K8" s="305"/>
      <c r="L8" s="127" t="s">
        <v>125</v>
      </c>
      <c r="M8" s="127" t="s">
        <v>126</v>
      </c>
    </row>
    <row r="9" spans="1:13" x14ac:dyDescent="0.2">
      <c r="A9" s="298"/>
      <c r="B9" s="298"/>
      <c r="C9" s="298"/>
      <c r="D9" s="298"/>
      <c r="E9" s="299"/>
      <c r="F9" s="123" t="s">
        <v>84</v>
      </c>
      <c r="G9" s="123" t="s">
        <v>85</v>
      </c>
      <c r="H9" s="123" t="s">
        <v>84</v>
      </c>
      <c r="I9" s="123" t="s">
        <v>85</v>
      </c>
      <c r="J9" s="124" t="s">
        <v>84</v>
      </c>
      <c r="K9" s="124" t="s">
        <v>85</v>
      </c>
      <c r="L9" s="124" t="s">
        <v>85</v>
      </c>
      <c r="M9" s="124" t="s">
        <v>85</v>
      </c>
    </row>
    <row r="10" spans="1:13" x14ac:dyDescent="0.2">
      <c r="A10" s="300"/>
      <c r="B10" s="300"/>
      <c r="C10" s="300"/>
      <c r="D10" s="300"/>
      <c r="E10" s="301"/>
      <c r="F10" s="125">
        <v>1</v>
      </c>
      <c r="G10" s="125">
        <v>2</v>
      </c>
      <c r="H10" s="125">
        <v>3</v>
      </c>
      <c r="I10" s="125">
        <v>4</v>
      </c>
      <c r="J10" s="126">
        <v>5</v>
      </c>
      <c r="K10" s="126">
        <v>6</v>
      </c>
      <c r="L10" s="126">
        <v>7</v>
      </c>
      <c r="M10" s="126">
        <v>8</v>
      </c>
    </row>
    <row r="11" spans="1:13" x14ac:dyDescent="0.2">
      <c r="A11" s="88" t="s">
        <v>102</v>
      </c>
      <c r="B11" s="89"/>
      <c r="C11" s="89"/>
      <c r="D11" s="89"/>
      <c r="E11" s="90"/>
      <c r="F11" s="100"/>
      <c r="G11" s="100"/>
      <c r="H11" s="101"/>
      <c r="I11" s="101"/>
      <c r="J11" s="101"/>
      <c r="K11" s="101"/>
      <c r="L11" s="101"/>
      <c r="M11" s="101"/>
    </row>
    <row r="12" spans="1:13" x14ac:dyDescent="0.2">
      <c r="A12" s="91">
        <v>6</v>
      </c>
      <c r="B12" s="293" t="s">
        <v>22</v>
      </c>
      <c r="C12" s="294"/>
      <c r="D12" s="294"/>
      <c r="E12" s="295"/>
      <c r="F12" s="102">
        <v>644304</v>
      </c>
      <c r="G12" s="103">
        <f>F12/7.5345</f>
        <v>85513.836352777216</v>
      </c>
      <c r="H12" s="104">
        <v>640540.87</v>
      </c>
      <c r="I12" s="105">
        <f>H12/7.5345</f>
        <v>85014.383170747882</v>
      </c>
      <c r="J12" s="68">
        <v>665907.30000000005</v>
      </c>
      <c r="K12" s="69">
        <v>88381.09</v>
      </c>
      <c r="L12" s="69">
        <v>90750</v>
      </c>
      <c r="M12" s="69">
        <v>90890</v>
      </c>
    </row>
    <row r="13" spans="1:13" x14ac:dyDescent="0.2">
      <c r="A13" s="92">
        <v>7</v>
      </c>
      <c r="B13" s="92" t="s">
        <v>103</v>
      </c>
      <c r="C13" s="92"/>
      <c r="D13" s="92"/>
      <c r="E13" s="92"/>
      <c r="F13" s="104">
        <v>0</v>
      </c>
      <c r="G13" s="103">
        <f t="shared" ref="G13:G16" si="0">F13/7.5345</f>
        <v>0</v>
      </c>
      <c r="H13" s="106">
        <v>0</v>
      </c>
      <c r="I13" s="105">
        <f t="shared" ref="I13:I16" si="1">H13/7.5345</f>
        <v>0</v>
      </c>
      <c r="J13" s="107">
        <v>0</v>
      </c>
      <c r="K13" s="108">
        <v>0</v>
      </c>
      <c r="L13" s="108">
        <v>0</v>
      </c>
      <c r="M13" s="108">
        <v>0</v>
      </c>
    </row>
    <row r="14" spans="1:13" x14ac:dyDescent="0.2">
      <c r="A14" s="91">
        <v>3</v>
      </c>
      <c r="B14" s="293" t="s">
        <v>104</v>
      </c>
      <c r="C14" s="294"/>
      <c r="D14" s="294"/>
      <c r="E14" s="295"/>
      <c r="F14" s="102">
        <v>578417</v>
      </c>
      <c r="G14" s="103">
        <f t="shared" si="0"/>
        <v>76769.12867476276</v>
      </c>
      <c r="H14" s="106">
        <v>616369.74</v>
      </c>
      <c r="I14" s="105">
        <f t="shared" si="1"/>
        <v>81806.322914592864</v>
      </c>
      <c r="J14" s="107">
        <v>642107.27</v>
      </c>
      <c r="K14" s="108">
        <v>85222.27</v>
      </c>
      <c r="L14" s="108">
        <v>85441.09</v>
      </c>
      <c r="M14" s="108">
        <v>85581.09</v>
      </c>
    </row>
    <row r="15" spans="1:13" x14ac:dyDescent="0.2">
      <c r="A15" s="92">
        <v>4</v>
      </c>
      <c r="B15" s="92" t="s">
        <v>105</v>
      </c>
      <c r="C15" s="92"/>
      <c r="D15" s="92"/>
      <c r="E15" s="92"/>
      <c r="F15" s="104">
        <v>51492</v>
      </c>
      <c r="G15" s="103">
        <f t="shared" si="0"/>
        <v>6834.1628508859239</v>
      </c>
      <c r="H15" s="106">
        <v>67800</v>
      </c>
      <c r="I15" s="105">
        <f t="shared" si="1"/>
        <v>8998.6064105116457</v>
      </c>
      <c r="J15" s="107">
        <v>63800.03</v>
      </c>
      <c r="K15" s="108">
        <v>8467.73</v>
      </c>
      <c r="L15" s="108">
        <v>5308.91</v>
      </c>
      <c r="M15" s="108">
        <v>5308.91</v>
      </c>
    </row>
    <row r="16" spans="1:13" x14ac:dyDescent="0.2">
      <c r="A16" s="93"/>
      <c r="B16" s="293" t="s">
        <v>106</v>
      </c>
      <c r="C16" s="294"/>
      <c r="D16" s="294"/>
      <c r="E16" s="295"/>
      <c r="F16" s="109">
        <v>14395</v>
      </c>
      <c r="G16" s="103">
        <f t="shared" si="0"/>
        <v>1910.544827128542</v>
      </c>
      <c r="H16" s="110">
        <f>H12-H14-H15</f>
        <v>-43628.869999999995</v>
      </c>
      <c r="I16" s="105">
        <f t="shared" si="1"/>
        <v>-5790.5461543566253</v>
      </c>
      <c r="J16" s="111">
        <f>J12+J13-J14-J15</f>
        <v>-39999.999999999971</v>
      </c>
      <c r="K16" s="112">
        <f>K12+K13-K14-K15</f>
        <v>-5308.9100000000071</v>
      </c>
      <c r="L16" s="112">
        <f t="shared" ref="L16:M16" si="2">L12+L13-L14-L15</f>
        <v>0</v>
      </c>
      <c r="M16" s="112">
        <f t="shared" si="2"/>
        <v>0</v>
      </c>
    </row>
    <row r="17" spans="1:13" x14ac:dyDescent="0.2">
      <c r="A17" s="94" t="s">
        <v>107</v>
      </c>
      <c r="B17" s="95"/>
      <c r="C17" s="95"/>
      <c r="D17" s="95"/>
      <c r="E17" s="96"/>
      <c r="F17" s="113"/>
      <c r="G17" s="114"/>
      <c r="H17" s="114"/>
      <c r="I17" s="114"/>
      <c r="J17" s="95"/>
      <c r="K17" s="95"/>
      <c r="L17" s="95"/>
      <c r="M17" s="96"/>
    </row>
    <row r="18" spans="1:13" x14ac:dyDescent="0.2">
      <c r="A18" s="97">
        <v>8</v>
      </c>
      <c r="B18" s="97" t="s">
        <v>25</v>
      </c>
      <c r="C18" s="97"/>
      <c r="D18" s="97"/>
      <c r="E18" s="97"/>
      <c r="F18" s="115">
        <v>0</v>
      </c>
      <c r="G18" s="116">
        <v>0</v>
      </c>
      <c r="H18" s="106">
        <v>0</v>
      </c>
      <c r="I18" s="117">
        <v>0</v>
      </c>
      <c r="J18" s="107">
        <v>0</v>
      </c>
      <c r="K18" s="108">
        <v>0</v>
      </c>
      <c r="L18" s="108">
        <v>0</v>
      </c>
      <c r="M18" s="108">
        <v>0</v>
      </c>
    </row>
    <row r="19" spans="1:13" x14ac:dyDescent="0.2">
      <c r="A19" s="92">
        <v>5</v>
      </c>
      <c r="B19" s="92" t="s">
        <v>108</v>
      </c>
      <c r="C19" s="92"/>
      <c r="D19" s="92"/>
      <c r="E19" s="92"/>
      <c r="F19" s="106">
        <v>0</v>
      </c>
      <c r="G19" s="116">
        <v>0</v>
      </c>
      <c r="H19" s="106">
        <v>0</v>
      </c>
      <c r="I19" s="117">
        <v>0</v>
      </c>
      <c r="J19" s="107">
        <v>0</v>
      </c>
      <c r="K19" s="108">
        <v>0</v>
      </c>
      <c r="L19" s="108">
        <v>0</v>
      </c>
      <c r="M19" s="108">
        <v>0</v>
      </c>
    </row>
    <row r="20" spans="1:13" x14ac:dyDescent="0.2">
      <c r="A20" s="92"/>
      <c r="B20" s="92" t="s">
        <v>109</v>
      </c>
      <c r="C20" s="92"/>
      <c r="D20" s="92"/>
      <c r="E20" s="92"/>
      <c r="F20" s="106">
        <v>0</v>
      </c>
      <c r="G20" s="116">
        <v>0</v>
      </c>
      <c r="H20" s="106">
        <v>0</v>
      </c>
      <c r="I20" s="117">
        <v>0</v>
      </c>
      <c r="J20" s="107">
        <v>0</v>
      </c>
      <c r="K20" s="108">
        <v>0</v>
      </c>
      <c r="L20" s="108">
        <v>0</v>
      </c>
      <c r="M20" s="108">
        <v>0</v>
      </c>
    </row>
    <row r="21" spans="1:13" x14ac:dyDescent="0.2">
      <c r="A21" s="98" t="s">
        <v>110</v>
      </c>
      <c r="B21" s="98"/>
      <c r="C21" s="98"/>
      <c r="D21" s="98"/>
      <c r="E21" s="98"/>
      <c r="F21" s="113"/>
      <c r="G21" s="114"/>
      <c r="H21" s="114"/>
      <c r="I21" s="114"/>
      <c r="J21" s="95"/>
      <c r="K21" s="95"/>
      <c r="L21" s="95"/>
      <c r="M21" s="96"/>
    </row>
    <row r="22" spans="1:13" x14ac:dyDescent="0.2">
      <c r="A22" s="92">
        <v>9</v>
      </c>
      <c r="B22" s="293" t="s">
        <v>111</v>
      </c>
      <c r="C22" s="294"/>
      <c r="D22" s="294"/>
      <c r="E22" s="295"/>
      <c r="F22" s="102"/>
      <c r="G22" s="118"/>
      <c r="H22" s="110"/>
      <c r="I22" s="119"/>
      <c r="J22" s="111"/>
      <c r="K22" s="112"/>
      <c r="L22" s="112"/>
      <c r="M22" s="112"/>
    </row>
    <row r="23" spans="1:13" x14ac:dyDescent="0.2">
      <c r="A23" s="92"/>
      <c r="B23" s="293" t="s">
        <v>24</v>
      </c>
      <c r="C23" s="294"/>
      <c r="D23" s="294"/>
      <c r="E23" s="295"/>
      <c r="F23" s="120">
        <v>43628</v>
      </c>
      <c r="G23" s="118">
        <f>F23/7.5345</f>
        <v>5790.4306855133054</v>
      </c>
      <c r="H23" s="106">
        <v>43628.87</v>
      </c>
      <c r="I23" s="117">
        <f>H23/7.5345</f>
        <v>5790.5461543566262</v>
      </c>
      <c r="J23" s="107">
        <v>40000</v>
      </c>
      <c r="K23" s="108">
        <v>5308.91</v>
      </c>
      <c r="L23" s="108">
        <v>0</v>
      </c>
      <c r="M23" s="108">
        <v>0</v>
      </c>
    </row>
    <row r="24" spans="1:13" ht="24" customHeight="1" x14ac:dyDescent="0.2">
      <c r="A24" s="92"/>
      <c r="B24" s="287" t="s">
        <v>112</v>
      </c>
      <c r="C24" s="288"/>
      <c r="D24" s="288"/>
      <c r="E24" s="289"/>
      <c r="F24" s="120">
        <v>43628</v>
      </c>
      <c r="G24" s="118">
        <f>F24/7.5345</f>
        <v>5790.4306855133054</v>
      </c>
      <c r="H24" s="106">
        <v>43628.87</v>
      </c>
      <c r="I24" s="117">
        <f t="shared" ref="I24:I29" si="3">H24/7.5345</f>
        <v>5790.5461543566262</v>
      </c>
      <c r="J24" s="107">
        <v>40000</v>
      </c>
      <c r="K24" s="108">
        <v>5308.91</v>
      </c>
      <c r="L24" s="108">
        <v>0</v>
      </c>
      <c r="M24" s="108">
        <v>0</v>
      </c>
    </row>
    <row r="25" spans="1:13" x14ac:dyDescent="0.2">
      <c r="A25" s="91"/>
      <c r="B25" s="99"/>
      <c r="C25" s="99"/>
      <c r="D25" s="99"/>
      <c r="E25" s="99"/>
      <c r="F25" s="99"/>
      <c r="G25" s="99"/>
      <c r="H25" s="99"/>
      <c r="I25" s="117"/>
      <c r="J25" s="121"/>
      <c r="K25" s="99"/>
      <c r="L25" s="99"/>
      <c r="M25" s="122"/>
    </row>
    <row r="26" spans="1:13" x14ac:dyDescent="0.2">
      <c r="A26" s="290" t="s">
        <v>113</v>
      </c>
      <c r="B26" s="291"/>
      <c r="C26" s="291"/>
      <c r="D26" s="291"/>
      <c r="E26" s="292"/>
      <c r="F26" s="102">
        <f>F12+F13+F18</f>
        <v>644304</v>
      </c>
      <c r="G26" s="103">
        <f>F26/7.5345</f>
        <v>85513.836352777216</v>
      </c>
      <c r="H26" s="106">
        <f>SUM(H12:H13)</f>
        <v>640540.87</v>
      </c>
      <c r="I26" s="117">
        <f t="shared" si="3"/>
        <v>85014.383170747882</v>
      </c>
      <c r="J26" s="107">
        <f>J12+J13+J18</f>
        <v>665907.30000000005</v>
      </c>
      <c r="K26" s="108">
        <f>K12+K13+K18</f>
        <v>88381.09</v>
      </c>
      <c r="L26" s="108">
        <v>90750</v>
      </c>
      <c r="M26" s="108">
        <v>90890</v>
      </c>
    </row>
    <row r="27" spans="1:13" x14ac:dyDescent="0.2">
      <c r="A27" s="290" t="s">
        <v>114</v>
      </c>
      <c r="B27" s="291"/>
      <c r="C27" s="291"/>
      <c r="D27" s="291"/>
      <c r="E27" s="292"/>
      <c r="F27" s="102">
        <f>F14+F15+F19</f>
        <v>629909</v>
      </c>
      <c r="G27" s="103">
        <f t="shared" ref="G27:G29" si="4">F27/7.5345</f>
        <v>83603.291525648674</v>
      </c>
      <c r="H27" s="106">
        <f>SUM(H14:H15)</f>
        <v>684169.74</v>
      </c>
      <c r="I27" s="117">
        <f t="shared" si="3"/>
        <v>90804.929325104516</v>
      </c>
      <c r="J27" s="107">
        <f>J14+J15+J19</f>
        <v>705907.3</v>
      </c>
      <c r="K27" s="108">
        <f>K14+K15+K19</f>
        <v>93690</v>
      </c>
      <c r="L27" s="108">
        <v>90750</v>
      </c>
      <c r="M27" s="108">
        <v>90890</v>
      </c>
    </row>
    <row r="28" spans="1:13" x14ac:dyDescent="0.2">
      <c r="A28" s="290" t="s">
        <v>115</v>
      </c>
      <c r="B28" s="291"/>
      <c r="C28" s="291"/>
      <c r="D28" s="291"/>
      <c r="E28" s="292"/>
      <c r="F28" s="102"/>
      <c r="G28" s="103">
        <f t="shared" si="4"/>
        <v>0</v>
      </c>
      <c r="H28" s="106">
        <v>43628.87</v>
      </c>
      <c r="I28" s="117">
        <f t="shared" si="3"/>
        <v>5790.5461543566262</v>
      </c>
      <c r="J28" s="107">
        <f>J24</f>
        <v>40000</v>
      </c>
      <c r="K28" s="108">
        <f>K24</f>
        <v>5308.91</v>
      </c>
      <c r="L28" s="108">
        <v>0</v>
      </c>
      <c r="M28" s="108">
        <v>0</v>
      </c>
    </row>
    <row r="29" spans="1:13" x14ac:dyDescent="0.2">
      <c r="A29" s="290" t="s">
        <v>116</v>
      </c>
      <c r="B29" s="291"/>
      <c r="C29" s="291"/>
      <c r="D29" s="291"/>
      <c r="E29" s="292"/>
      <c r="F29" s="102">
        <f>F26+F28-F27</f>
        <v>14395</v>
      </c>
      <c r="G29" s="103">
        <f t="shared" si="4"/>
        <v>1910.544827128542</v>
      </c>
      <c r="H29" s="106">
        <f>H26+H28-H27</f>
        <v>0</v>
      </c>
      <c r="I29" s="117">
        <f t="shared" si="3"/>
        <v>0</v>
      </c>
      <c r="J29" s="107">
        <f>J26+J28-J27</f>
        <v>0</v>
      </c>
      <c r="K29" s="108">
        <f>K26+K28-K27</f>
        <v>0</v>
      </c>
      <c r="L29" s="108">
        <v>0</v>
      </c>
      <c r="M29" s="108">
        <v>0</v>
      </c>
    </row>
  </sheetData>
  <mergeCells count="19">
    <mergeCell ref="A8:E10"/>
    <mergeCell ref="F8:G8"/>
    <mergeCell ref="H8:I8"/>
    <mergeCell ref="J8:K8"/>
    <mergeCell ref="A3:M3"/>
    <mergeCell ref="A4:M4"/>
    <mergeCell ref="A6:M6"/>
    <mergeCell ref="A7:M7"/>
    <mergeCell ref="A5:M5"/>
    <mergeCell ref="B12:E12"/>
    <mergeCell ref="B14:E14"/>
    <mergeCell ref="B16:E16"/>
    <mergeCell ref="B22:E22"/>
    <mergeCell ref="B23:E23"/>
    <mergeCell ref="B24:E24"/>
    <mergeCell ref="A26:E26"/>
    <mergeCell ref="A27:E27"/>
    <mergeCell ref="A28:E28"/>
    <mergeCell ref="A29:E2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A5" sqref="A5"/>
    </sheetView>
  </sheetViews>
  <sheetFormatPr defaultRowHeight="15" x14ac:dyDescent="0.25"/>
  <cols>
    <col min="1" max="1" width="29.28515625" customWidth="1"/>
    <col min="2" max="2" width="14.7109375" customWidth="1"/>
    <col min="3" max="3" width="11.7109375" style="30" customWidth="1"/>
    <col min="4" max="4" width="13.85546875" customWidth="1"/>
    <col min="5" max="5" width="11.28515625" style="30" customWidth="1"/>
    <col min="6" max="6" width="13.85546875" customWidth="1"/>
    <col min="7" max="7" width="12" style="30" customWidth="1"/>
    <col min="8" max="8" width="11.140625" customWidth="1"/>
    <col min="9" max="9" width="11.85546875" customWidth="1"/>
  </cols>
  <sheetData>
    <row r="1" spans="1:13" ht="15.75" customHeight="1" x14ac:dyDescent="0.25">
      <c r="A1" s="11" t="s">
        <v>58</v>
      </c>
      <c r="B1" s="11"/>
      <c r="C1" s="11"/>
      <c r="D1" s="11"/>
      <c r="E1" s="11"/>
      <c r="F1" s="11"/>
      <c r="G1" s="11"/>
      <c r="H1" s="11"/>
      <c r="I1" s="11"/>
      <c r="J1" s="11"/>
      <c r="K1" s="13"/>
      <c r="L1" s="13"/>
      <c r="M1" s="13"/>
    </row>
    <row r="2" spans="1:13" x14ac:dyDescent="0.25">
      <c r="A2" s="11" t="s">
        <v>59</v>
      </c>
      <c r="B2" s="11"/>
      <c r="C2" s="11"/>
      <c r="D2" s="11"/>
      <c r="E2" s="11"/>
      <c r="F2" s="11"/>
      <c r="G2" s="11"/>
      <c r="H2" s="11"/>
      <c r="I2" s="11"/>
      <c r="J2" s="11"/>
      <c r="K2" s="13"/>
      <c r="L2" s="13"/>
      <c r="M2" s="13"/>
    </row>
    <row r="3" spans="1:13" ht="18" x14ac:dyDescent="0.25">
      <c r="A3" s="31"/>
      <c r="B3" s="31"/>
      <c r="C3" s="31"/>
      <c r="D3" s="31"/>
      <c r="E3" s="31"/>
      <c r="F3" s="31"/>
      <c r="G3" s="31"/>
      <c r="H3" s="32"/>
      <c r="I3" s="32"/>
    </row>
    <row r="4" spans="1:13" ht="15.75" x14ac:dyDescent="0.25">
      <c r="A4" s="312" t="s">
        <v>143</v>
      </c>
      <c r="B4" s="313"/>
      <c r="C4" s="313"/>
      <c r="D4" s="313"/>
      <c r="E4" s="313"/>
      <c r="F4" s="313"/>
      <c r="G4" s="313"/>
      <c r="H4" s="313"/>
      <c r="I4" s="313"/>
    </row>
    <row r="5" spans="1:13" ht="18" x14ac:dyDescent="0.25">
      <c r="A5" s="31"/>
      <c r="B5" s="31"/>
      <c r="C5" s="31"/>
      <c r="D5" s="31"/>
      <c r="E5" s="31"/>
      <c r="F5" s="31"/>
      <c r="G5" s="31"/>
      <c r="H5" s="32"/>
      <c r="I5" s="32"/>
    </row>
    <row r="6" spans="1:13" ht="25.5" x14ac:dyDescent="0.25">
      <c r="A6" s="314" t="s">
        <v>76</v>
      </c>
      <c r="B6" s="316" t="s">
        <v>72</v>
      </c>
      <c r="C6" s="317"/>
      <c r="D6" s="316" t="s">
        <v>127</v>
      </c>
      <c r="E6" s="317"/>
      <c r="F6" s="316" t="s">
        <v>128</v>
      </c>
      <c r="G6" s="317"/>
      <c r="H6" s="37" t="s">
        <v>73</v>
      </c>
      <c r="I6" s="37" t="s">
        <v>74</v>
      </c>
    </row>
    <row r="7" spans="1:13" s="30" customFormat="1" x14ac:dyDescent="0.25">
      <c r="A7" s="315"/>
      <c r="B7" s="36" t="s">
        <v>84</v>
      </c>
      <c r="C7" s="36" t="s">
        <v>85</v>
      </c>
      <c r="D7" s="37" t="s">
        <v>84</v>
      </c>
      <c r="E7" s="37" t="s">
        <v>85</v>
      </c>
      <c r="F7" s="37" t="s">
        <v>84</v>
      </c>
      <c r="G7" s="37" t="s">
        <v>85</v>
      </c>
      <c r="H7" s="37" t="s">
        <v>85</v>
      </c>
      <c r="I7" s="37" t="s">
        <v>85</v>
      </c>
    </row>
    <row r="8" spans="1:13" ht="27" customHeight="1" x14ac:dyDescent="0.25">
      <c r="A8" s="145" t="s">
        <v>77</v>
      </c>
      <c r="B8" s="261">
        <f t="shared" ref="B8:E8" si="0">SUM(B9,B12)</f>
        <v>629908.74</v>
      </c>
      <c r="C8" s="262">
        <f t="shared" si="0"/>
        <v>83603.257017718483</v>
      </c>
      <c r="D8" s="261">
        <f t="shared" si="0"/>
        <v>684169.74</v>
      </c>
      <c r="E8" s="262">
        <f t="shared" si="0"/>
        <v>90804.929325104516</v>
      </c>
      <c r="F8" s="263">
        <f>SUM(F9,F12)</f>
        <v>705907.3</v>
      </c>
      <c r="G8" s="264">
        <f>SUM(G9,G12)</f>
        <v>93690</v>
      </c>
      <c r="H8" s="264">
        <f t="shared" ref="H8:I8" si="1">SUM(H9,H12)</f>
        <v>90750</v>
      </c>
      <c r="I8" s="264">
        <f t="shared" si="1"/>
        <v>90890</v>
      </c>
    </row>
    <row r="9" spans="1:13" ht="21.75" customHeight="1" x14ac:dyDescent="0.25">
      <c r="A9" s="33" t="s">
        <v>78</v>
      </c>
      <c r="B9" s="41">
        <v>376059.6</v>
      </c>
      <c r="C9" s="265">
        <f>376059.6/7.5345</f>
        <v>49911.686243280899</v>
      </c>
      <c r="D9" s="266">
        <v>428772.26</v>
      </c>
      <c r="E9" s="267">
        <f>428772.26/7.5345</f>
        <v>56907.858517486231</v>
      </c>
      <c r="F9" s="268">
        <v>433545</v>
      </c>
      <c r="G9" s="269">
        <v>57541.3</v>
      </c>
      <c r="H9" s="267">
        <v>56606.93</v>
      </c>
      <c r="I9" s="267">
        <v>56435.040000000001</v>
      </c>
    </row>
    <row r="10" spans="1:13" s="30" customFormat="1" ht="23.25" customHeight="1" x14ac:dyDescent="0.25">
      <c r="A10" s="38" t="s">
        <v>79</v>
      </c>
      <c r="B10" s="40">
        <v>376059.6</v>
      </c>
      <c r="C10" s="270">
        <f>376059.6/7.5345</f>
        <v>49911.686243280899</v>
      </c>
      <c r="D10" s="271">
        <v>428772.26</v>
      </c>
      <c r="E10" s="270">
        <f t="shared" ref="E10:E11" si="2">428772.26/7.5345</f>
        <v>56907.858517486231</v>
      </c>
      <c r="F10" s="272">
        <v>433545</v>
      </c>
      <c r="G10" s="273">
        <v>57541.3</v>
      </c>
      <c r="H10" s="270">
        <v>56606.93</v>
      </c>
      <c r="I10" s="270">
        <v>56435.040000000001</v>
      </c>
    </row>
    <row r="11" spans="1:13" ht="25.5" customHeight="1" x14ac:dyDescent="0.25">
      <c r="A11" s="28" t="s">
        <v>83</v>
      </c>
      <c r="B11" s="40">
        <v>376059.6</v>
      </c>
      <c r="C11" s="42">
        <f>376059.6/7.5345</f>
        <v>49911.686243280899</v>
      </c>
      <c r="D11" s="271">
        <v>428772.26</v>
      </c>
      <c r="E11" s="270">
        <f t="shared" si="2"/>
        <v>56907.858517486231</v>
      </c>
      <c r="F11" s="272">
        <v>433545</v>
      </c>
      <c r="G11" s="273">
        <v>57541.3</v>
      </c>
      <c r="H11" s="270">
        <v>56606.93</v>
      </c>
      <c r="I11" s="270">
        <v>56435.040000000001</v>
      </c>
    </row>
    <row r="12" spans="1:13" ht="24.75" customHeight="1" x14ac:dyDescent="0.25">
      <c r="A12" s="34" t="s">
        <v>80</v>
      </c>
      <c r="B12" s="274">
        <v>253849.14</v>
      </c>
      <c r="C12" s="265">
        <f>253849.14/7.5345</f>
        <v>33691.57077443759</v>
      </c>
      <c r="D12" s="266">
        <v>255397.48</v>
      </c>
      <c r="E12" s="267">
        <f>255397.48/7.5345</f>
        <v>33897.070807618285</v>
      </c>
      <c r="F12" s="268">
        <v>272362.3</v>
      </c>
      <c r="G12" s="269">
        <v>36148.699999999997</v>
      </c>
      <c r="H12" s="267">
        <v>34143.07</v>
      </c>
      <c r="I12" s="267">
        <v>34454.959999999999</v>
      </c>
    </row>
    <row r="13" spans="1:13" ht="32.25" customHeight="1" x14ac:dyDescent="0.25">
      <c r="A13" s="33" t="s">
        <v>81</v>
      </c>
      <c r="B13" s="275">
        <v>253849.14</v>
      </c>
      <c r="C13" s="276">
        <f>253849.14/7.5345</f>
        <v>33691.57077443759</v>
      </c>
      <c r="D13" s="271">
        <v>255397.48</v>
      </c>
      <c r="E13" s="270">
        <f t="shared" ref="E13:E14" si="3">255397.48/7.5345</f>
        <v>33897.070807618285</v>
      </c>
      <c r="F13" s="272">
        <v>272356</v>
      </c>
      <c r="G13" s="273">
        <v>36148.699999999997</v>
      </c>
      <c r="H13" s="270">
        <v>34143.07</v>
      </c>
      <c r="I13" s="277">
        <v>34454.959999999999</v>
      </c>
    </row>
    <row r="14" spans="1:13" ht="29.25" customHeight="1" x14ac:dyDescent="0.25">
      <c r="A14" s="35" t="s">
        <v>82</v>
      </c>
      <c r="B14" s="275">
        <v>253849.14</v>
      </c>
      <c r="C14" s="276">
        <f>253849.14/7.5345</f>
        <v>33691.57077443759</v>
      </c>
      <c r="D14" s="271">
        <v>255397.48</v>
      </c>
      <c r="E14" s="270">
        <f t="shared" si="3"/>
        <v>33897.070807618285</v>
      </c>
      <c r="F14" s="272">
        <v>272362.3</v>
      </c>
      <c r="G14" s="273">
        <v>36148.699999999997</v>
      </c>
      <c r="H14" s="270">
        <v>34143.07</v>
      </c>
      <c r="I14" s="277">
        <v>34454.959999999999</v>
      </c>
    </row>
  </sheetData>
  <mergeCells count="5">
    <mergeCell ref="A4:I4"/>
    <mergeCell ref="A6:A7"/>
    <mergeCell ref="B6:C6"/>
    <mergeCell ref="D6:E6"/>
    <mergeCell ref="F6:G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opLeftCell="A7" workbookViewId="0">
      <selection activeCell="B39" sqref="B39"/>
    </sheetView>
  </sheetViews>
  <sheetFormatPr defaultRowHeight="15" x14ac:dyDescent="0.25"/>
  <cols>
    <col min="1" max="1" width="76.85546875" style="70" customWidth="1"/>
    <col min="2" max="3" width="15.28515625" style="70" customWidth="1"/>
    <col min="4" max="4" width="15.7109375" style="70" customWidth="1"/>
    <col min="5" max="256" width="9.140625" style="70"/>
    <col min="257" max="257" width="101" style="70" customWidth="1"/>
    <col min="258" max="258" width="15.28515625" style="70" customWidth="1"/>
    <col min="259" max="259" width="15.7109375" style="70" customWidth="1"/>
    <col min="260" max="260" width="7.85546875" style="70" customWidth="1"/>
    <col min="261" max="512" width="9.140625" style="70"/>
    <col min="513" max="513" width="101" style="70" customWidth="1"/>
    <col min="514" max="514" width="15.28515625" style="70" customWidth="1"/>
    <col min="515" max="515" width="15.7109375" style="70" customWidth="1"/>
    <col min="516" max="516" width="7.85546875" style="70" customWidth="1"/>
    <col min="517" max="768" width="9.140625" style="70"/>
    <col min="769" max="769" width="101" style="70" customWidth="1"/>
    <col min="770" max="770" width="15.28515625" style="70" customWidth="1"/>
    <col min="771" max="771" width="15.7109375" style="70" customWidth="1"/>
    <col min="772" max="772" width="7.85546875" style="70" customWidth="1"/>
    <col min="773" max="1024" width="9.140625" style="70"/>
    <col min="1025" max="1025" width="101" style="70" customWidth="1"/>
    <col min="1026" max="1026" width="15.28515625" style="70" customWidth="1"/>
    <col min="1027" max="1027" width="15.7109375" style="70" customWidth="1"/>
    <col min="1028" max="1028" width="7.85546875" style="70" customWidth="1"/>
    <col min="1029" max="1280" width="9.140625" style="70"/>
    <col min="1281" max="1281" width="101" style="70" customWidth="1"/>
    <col min="1282" max="1282" width="15.28515625" style="70" customWidth="1"/>
    <col min="1283" max="1283" width="15.7109375" style="70" customWidth="1"/>
    <col min="1284" max="1284" width="7.85546875" style="70" customWidth="1"/>
    <col min="1285" max="1536" width="9.140625" style="70"/>
    <col min="1537" max="1537" width="101" style="70" customWidth="1"/>
    <col min="1538" max="1538" width="15.28515625" style="70" customWidth="1"/>
    <col min="1539" max="1539" width="15.7109375" style="70" customWidth="1"/>
    <col min="1540" max="1540" width="7.85546875" style="70" customWidth="1"/>
    <col min="1541" max="1792" width="9.140625" style="70"/>
    <col min="1793" max="1793" width="101" style="70" customWidth="1"/>
    <col min="1794" max="1794" width="15.28515625" style="70" customWidth="1"/>
    <col min="1795" max="1795" width="15.7109375" style="70" customWidth="1"/>
    <col min="1796" max="1796" width="7.85546875" style="70" customWidth="1"/>
    <col min="1797" max="2048" width="9.140625" style="70"/>
    <col min="2049" max="2049" width="101" style="70" customWidth="1"/>
    <col min="2050" max="2050" width="15.28515625" style="70" customWidth="1"/>
    <col min="2051" max="2051" width="15.7109375" style="70" customWidth="1"/>
    <col min="2052" max="2052" width="7.85546875" style="70" customWidth="1"/>
    <col min="2053" max="2304" width="9.140625" style="70"/>
    <col min="2305" max="2305" width="101" style="70" customWidth="1"/>
    <col min="2306" max="2306" width="15.28515625" style="70" customWidth="1"/>
    <col min="2307" max="2307" width="15.7109375" style="70" customWidth="1"/>
    <col min="2308" max="2308" width="7.85546875" style="70" customWidth="1"/>
    <col min="2309" max="2560" width="9.140625" style="70"/>
    <col min="2561" max="2561" width="101" style="70" customWidth="1"/>
    <col min="2562" max="2562" width="15.28515625" style="70" customWidth="1"/>
    <col min="2563" max="2563" width="15.7109375" style="70" customWidth="1"/>
    <col min="2564" max="2564" width="7.85546875" style="70" customWidth="1"/>
    <col min="2565" max="2816" width="9.140625" style="70"/>
    <col min="2817" max="2817" width="101" style="70" customWidth="1"/>
    <col min="2818" max="2818" width="15.28515625" style="70" customWidth="1"/>
    <col min="2819" max="2819" width="15.7109375" style="70" customWidth="1"/>
    <col min="2820" max="2820" width="7.85546875" style="70" customWidth="1"/>
    <col min="2821" max="3072" width="9.140625" style="70"/>
    <col min="3073" max="3073" width="101" style="70" customWidth="1"/>
    <col min="3074" max="3074" width="15.28515625" style="70" customWidth="1"/>
    <col min="3075" max="3075" width="15.7109375" style="70" customWidth="1"/>
    <col min="3076" max="3076" width="7.85546875" style="70" customWidth="1"/>
    <col min="3077" max="3328" width="9.140625" style="70"/>
    <col min="3329" max="3329" width="101" style="70" customWidth="1"/>
    <col min="3330" max="3330" width="15.28515625" style="70" customWidth="1"/>
    <col min="3331" max="3331" width="15.7109375" style="70" customWidth="1"/>
    <col min="3332" max="3332" width="7.85546875" style="70" customWidth="1"/>
    <col min="3333" max="3584" width="9.140625" style="70"/>
    <col min="3585" max="3585" width="101" style="70" customWidth="1"/>
    <col min="3586" max="3586" width="15.28515625" style="70" customWidth="1"/>
    <col min="3587" max="3587" width="15.7109375" style="70" customWidth="1"/>
    <col min="3588" max="3588" width="7.85546875" style="70" customWidth="1"/>
    <col min="3589" max="3840" width="9.140625" style="70"/>
    <col min="3841" max="3841" width="101" style="70" customWidth="1"/>
    <col min="3842" max="3842" width="15.28515625" style="70" customWidth="1"/>
    <col min="3843" max="3843" width="15.7109375" style="70" customWidth="1"/>
    <col min="3844" max="3844" width="7.85546875" style="70" customWidth="1"/>
    <col min="3845" max="4096" width="9.140625" style="70"/>
    <col min="4097" max="4097" width="101" style="70" customWidth="1"/>
    <col min="4098" max="4098" width="15.28515625" style="70" customWidth="1"/>
    <col min="4099" max="4099" width="15.7109375" style="70" customWidth="1"/>
    <col min="4100" max="4100" width="7.85546875" style="70" customWidth="1"/>
    <col min="4101" max="4352" width="9.140625" style="70"/>
    <col min="4353" max="4353" width="101" style="70" customWidth="1"/>
    <col min="4354" max="4354" width="15.28515625" style="70" customWidth="1"/>
    <col min="4355" max="4355" width="15.7109375" style="70" customWidth="1"/>
    <col min="4356" max="4356" width="7.85546875" style="70" customWidth="1"/>
    <col min="4357" max="4608" width="9.140625" style="70"/>
    <col min="4609" max="4609" width="101" style="70" customWidth="1"/>
    <col min="4610" max="4610" width="15.28515625" style="70" customWidth="1"/>
    <col min="4611" max="4611" width="15.7109375" style="70" customWidth="1"/>
    <col min="4612" max="4612" width="7.85546875" style="70" customWidth="1"/>
    <col min="4613" max="4864" width="9.140625" style="70"/>
    <col min="4865" max="4865" width="101" style="70" customWidth="1"/>
    <col min="4866" max="4866" width="15.28515625" style="70" customWidth="1"/>
    <col min="4867" max="4867" width="15.7109375" style="70" customWidth="1"/>
    <col min="4868" max="4868" width="7.85546875" style="70" customWidth="1"/>
    <col min="4869" max="5120" width="9.140625" style="70"/>
    <col min="5121" max="5121" width="101" style="70" customWidth="1"/>
    <col min="5122" max="5122" width="15.28515625" style="70" customWidth="1"/>
    <col min="5123" max="5123" width="15.7109375" style="70" customWidth="1"/>
    <col min="5124" max="5124" width="7.85546875" style="70" customWidth="1"/>
    <col min="5125" max="5376" width="9.140625" style="70"/>
    <col min="5377" max="5377" width="101" style="70" customWidth="1"/>
    <col min="5378" max="5378" width="15.28515625" style="70" customWidth="1"/>
    <col min="5379" max="5379" width="15.7109375" style="70" customWidth="1"/>
    <col min="5380" max="5380" width="7.85546875" style="70" customWidth="1"/>
    <col min="5381" max="5632" width="9.140625" style="70"/>
    <col min="5633" max="5633" width="101" style="70" customWidth="1"/>
    <col min="5634" max="5634" width="15.28515625" style="70" customWidth="1"/>
    <col min="5635" max="5635" width="15.7109375" style="70" customWidth="1"/>
    <col min="5636" max="5636" width="7.85546875" style="70" customWidth="1"/>
    <col min="5637" max="5888" width="9.140625" style="70"/>
    <col min="5889" max="5889" width="101" style="70" customWidth="1"/>
    <col min="5890" max="5890" width="15.28515625" style="70" customWidth="1"/>
    <col min="5891" max="5891" width="15.7109375" style="70" customWidth="1"/>
    <col min="5892" max="5892" width="7.85546875" style="70" customWidth="1"/>
    <col min="5893" max="6144" width="9.140625" style="70"/>
    <col min="6145" max="6145" width="101" style="70" customWidth="1"/>
    <col min="6146" max="6146" width="15.28515625" style="70" customWidth="1"/>
    <col min="6147" max="6147" width="15.7109375" style="70" customWidth="1"/>
    <col min="6148" max="6148" width="7.85546875" style="70" customWidth="1"/>
    <col min="6149" max="6400" width="9.140625" style="70"/>
    <col min="6401" max="6401" width="101" style="70" customWidth="1"/>
    <col min="6402" max="6402" width="15.28515625" style="70" customWidth="1"/>
    <col min="6403" max="6403" width="15.7109375" style="70" customWidth="1"/>
    <col min="6404" max="6404" width="7.85546875" style="70" customWidth="1"/>
    <col min="6405" max="6656" width="9.140625" style="70"/>
    <col min="6657" max="6657" width="101" style="70" customWidth="1"/>
    <col min="6658" max="6658" width="15.28515625" style="70" customWidth="1"/>
    <col min="6659" max="6659" width="15.7109375" style="70" customWidth="1"/>
    <col min="6660" max="6660" width="7.85546875" style="70" customWidth="1"/>
    <col min="6661" max="6912" width="9.140625" style="70"/>
    <col min="6913" max="6913" width="101" style="70" customWidth="1"/>
    <col min="6914" max="6914" width="15.28515625" style="70" customWidth="1"/>
    <col min="6915" max="6915" width="15.7109375" style="70" customWidth="1"/>
    <col min="6916" max="6916" width="7.85546875" style="70" customWidth="1"/>
    <col min="6917" max="7168" width="9.140625" style="70"/>
    <col min="7169" max="7169" width="101" style="70" customWidth="1"/>
    <col min="7170" max="7170" width="15.28515625" style="70" customWidth="1"/>
    <col min="7171" max="7171" width="15.7109375" style="70" customWidth="1"/>
    <col min="7172" max="7172" width="7.85546875" style="70" customWidth="1"/>
    <col min="7173" max="7424" width="9.140625" style="70"/>
    <col min="7425" max="7425" width="101" style="70" customWidth="1"/>
    <col min="7426" max="7426" width="15.28515625" style="70" customWidth="1"/>
    <col min="7427" max="7427" width="15.7109375" style="70" customWidth="1"/>
    <col min="7428" max="7428" width="7.85546875" style="70" customWidth="1"/>
    <col min="7429" max="7680" width="9.140625" style="70"/>
    <col min="7681" max="7681" width="101" style="70" customWidth="1"/>
    <col min="7682" max="7682" width="15.28515625" style="70" customWidth="1"/>
    <col min="7683" max="7683" width="15.7109375" style="70" customWidth="1"/>
    <col min="7684" max="7684" width="7.85546875" style="70" customWidth="1"/>
    <col min="7685" max="7936" width="9.140625" style="70"/>
    <col min="7937" max="7937" width="101" style="70" customWidth="1"/>
    <col min="7938" max="7938" width="15.28515625" style="70" customWidth="1"/>
    <col min="7939" max="7939" width="15.7109375" style="70" customWidth="1"/>
    <col min="7940" max="7940" width="7.85546875" style="70" customWidth="1"/>
    <col min="7941" max="8192" width="9.140625" style="70"/>
    <col min="8193" max="8193" width="101" style="70" customWidth="1"/>
    <col min="8194" max="8194" width="15.28515625" style="70" customWidth="1"/>
    <col min="8195" max="8195" width="15.7109375" style="70" customWidth="1"/>
    <col min="8196" max="8196" width="7.85546875" style="70" customWidth="1"/>
    <col min="8197" max="8448" width="9.140625" style="70"/>
    <col min="8449" max="8449" width="101" style="70" customWidth="1"/>
    <col min="8450" max="8450" width="15.28515625" style="70" customWidth="1"/>
    <col min="8451" max="8451" width="15.7109375" style="70" customWidth="1"/>
    <col min="8452" max="8452" width="7.85546875" style="70" customWidth="1"/>
    <col min="8453" max="8704" width="9.140625" style="70"/>
    <col min="8705" max="8705" width="101" style="70" customWidth="1"/>
    <col min="8706" max="8706" width="15.28515625" style="70" customWidth="1"/>
    <col min="8707" max="8707" width="15.7109375" style="70" customWidth="1"/>
    <col min="8708" max="8708" width="7.85546875" style="70" customWidth="1"/>
    <col min="8709" max="8960" width="9.140625" style="70"/>
    <col min="8961" max="8961" width="101" style="70" customWidth="1"/>
    <col min="8962" max="8962" width="15.28515625" style="70" customWidth="1"/>
    <col min="8963" max="8963" width="15.7109375" style="70" customWidth="1"/>
    <col min="8964" max="8964" width="7.85546875" style="70" customWidth="1"/>
    <col min="8965" max="9216" width="9.140625" style="70"/>
    <col min="9217" max="9217" width="101" style="70" customWidth="1"/>
    <col min="9218" max="9218" width="15.28515625" style="70" customWidth="1"/>
    <col min="9219" max="9219" width="15.7109375" style="70" customWidth="1"/>
    <col min="9220" max="9220" width="7.85546875" style="70" customWidth="1"/>
    <col min="9221" max="9472" width="9.140625" style="70"/>
    <col min="9473" max="9473" width="101" style="70" customWidth="1"/>
    <col min="9474" max="9474" width="15.28515625" style="70" customWidth="1"/>
    <col min="9475" max="9475" width="15.7109375" style="70" customWidth="1"/>
    <col min="9476" max="9476" width="7.85546875" style="70" customWidth="1"/>
    <col min="9477" max="9728" width="9.140625" style="70"/>
    <col min="9729" max="9729" width="101" style="70" customWidth="1"/>
    <col min="9730" max="9730" width="15.28515625" style="70" customWidth="1"/>
    <col min="9731" max="9731" width="15.7109375" style="70" customWidth="1"/>
    <col min="9732" max="9732" width="7.85546875" style="70" customWidth="1"/>
    <col min="9733" max="9984" width="9.140625" style="70"/>
    <col min="9985" max="9985" width="101" style="70" customWidth="1"/>
    <col min="9986" max="9986" width="15.28515625" style="70" customWidth="1"/>
    <col min="9987" max="9987" width="15.7109375" style="70" customWidth="1"/>
    <col min="9988" max="9988" width="7.85546875" style="70" customWidth="1"/>
    <col min="9989" max="10240" width="9.140625" style="70"/>
    <col min="10241" max="10241" width="101" style="70" customWidth="1"/>
    <col min="10242" max="10242" width="15.28515625" style="70" customWidth="1"/>
    <col min="10243" max="10243" width="15.7109375" style="70" customWidth="1"/>
    <col min="10244" max="10244" width="7.85546875" style="70" customWidth="1"/>
    <col min="10245" max="10496" width="9.140625" style="70"/>
    <col min="10497" max="10497" width="101" style="70" customWidth="1"/>
    <col min="10498" max="10498" width="15.28515625" style="70" customWidth="1"/>
    <col min="10499" max="10499" width="15.7109375" style="70" customWidth="1"/>
    <col min="10500" max="10500" width="7.85546875" style="70" customWidth="1"/>
    <col min="10501" max="10752" width="9.140625" style="70"/>
    <col min="10753" max="10753" width="101" style="70" customWidth="1"/>
    <col min="10754" max="10754" width="15.28515625" style="70" customWidth="1"/>
    <col min="10755" max="10755" width="15.7109375" style="70" customWidth="1"/>
    <col min="10756" max="10756" width="7.85546875" style="70" customWidth="1"/>
    <col min="10757" max="11008" width="9.140625" style="70"/>
    <col min="11009" max="11009" width="101" style="70" customWidth="1"/>
    <col min="11010" max="11010" width="15.28515625" style="70" customWidth="1"/>
    <col min="11011" max="11011" width="15.7109375" style="70" customWidth="1"/>
    <col min="11012" max="11012" width="7.85546875" style="70" customWidth="1"/>
    <col min="11013" max="11264" width="9.140625" style="70"/>
    <col min="11265" max="11265" width="101" style="70" customWidth="1"/>
    <col min="11266" max="11266" width="15.28515625" style="70" customWidth="1"/>
    <col min="11267" max="11267" width="15.7109375" style="70" customWidth="1"/>
    <col min="11268" max="11268" width="7.85546875" style="70" customWidth="1"/>
    <col min="11269" max="11520" width="9.140625" style="70"/>
    <col min="11521" max="11521" width="101" style="70" customWidth="1"/>
    <col min="11522" max="11522" width="15.28515625" style="70" customWidth="1"/>
    <col min="11523" max="11523" width="15.7109375" style="70" customWidth="1"/>
    <col min="11524" max="11524" width="7.85546875" style="70" customWidth="1"/>
    <col min="11525" max="11776" width="9.140625" style="70"/>
    <col min="11777" max="11777" width="101" style="70" customWidth="1"/>
    <col min="11778" max="11778" width="15.28515625" style="70" customWidth="1"/>
    <col min="11779" max="11779" width="15.7109375" style="70" customWidth="1"/>
    <col min="11780" max="11780" width="7.85546875" style="70" customWidth="1"/>
    <col min="11781" max="12032" width="9.140625" style="70"/>
    <col min="12033" max="12033" width="101" style="70" customWidth="1"/>
    <col min="12034" max="12034" width="15.28515625" style="70" customWidth="1"/>
    <col min="12035" max="12035" width="15.7109375" style="70" customWidth="1"/>
    <col min="12036" max="12036" width="7.85546875" style="70" customWidth="1"/>
    <col min="12037" max="12288" width="9.140625" style="70"/>
    <col min="12289" max="12289" width="101" style="70" customWidth="1"/>
    <col min="12290" max="12290" width="15.28515625" style="70" customWidth="1"/>
    <col min="12291" max="12291" width="15.7109375" style="70" customWidth="1"/>
    <col min="12292" max="12292" width="7.85546875" style="70" customWidth="1"/>
    <col min="12293" max="12544" width="9.140625" style="70"/>
    <col min="12545" max="12545" width="101" style="70" customWidth="1"/>
    <col min="12546" max="12546" width="15.28515625" style="70" customWidth="1"/>
    <col min="12547" max="12547" width="15.7109375" style="70" customWidth="1"/>
    <col min="12548" max="12548" width="7.85546875" style="70" customWidth="1"/>
    <col min="12549" max="12800" width="9.140625" style="70"/>
    <col min="12801" max="12801" width="101" style="70" customWidth="1"/>
    <col min="12802" max="12802" width="15.28515625" style="70" customWidth="1"/>
    <col min="12803" max="12803" width="15.7109375" style="70" customWidth="1"/>
    <col min="12804" max="12804" width="7.85546875" style="70" customWidth="1"/>
    <col min="12805" max="13056" width="9.140625" style="70"/>
    <col min="13057" max="13057" width="101" style="70" customWidth="1"/>
    <col min="13058" max="13058" width="15.28515625" style="70" customWidth="1"/>
    <col min="13059" max="13059" width="15.7109375" style="70" customWidth="1"/>
    <col min="13060" max="13060" width="7.85546875" style="70" customWidth="1"/>
    <col min="13061" max="13312" width="9.140625" style="70"/>
    <col min="13313" max="13313" width="101" style="70" customWidth="1"/>
    <col min="13314" max="13314" width="15.28515625" style="70" customWidth="1"/>
    <col min="13315" max="13315" width="15.7109375" style="70" customWidth="1"/>
    <col min="13316" max="13316" width="7.85546875" style="70" customWidth="1"/>
    <col min="13317" max="13568" width="9.140625" style="70"/>
    <col min="13569" max="13569" width="101" style="70" customWidth="1"/>
    <col min="13570" max="13570" width="15.28515625" style="70" customWidth="1"/>
    <col min="13571" max="13571" width="15.7109375" style="70" customWidth="1"/>
    <col min="13572" max="13572" width="7.85546875" style="70" customWidth="1"/>
    <col min="13573" max="13824" width="9.140625" style="70"/>
    <col min="13825" max="13825" width="101" style="70" customWidth="1"/>
    <col min="13826" max="13826" width="15.28515625" style="70" customWidth="1"/>
    <col min="13827" max="13827" width="15.7109375" style="70" customWidth="1"/>
    <col min="13828" max="13828" width="7.85546875" style="70" customWidth="1"/>
    <col min="13829" max="14080" width="9.140625" style="70"/>
    <col min="14081" max="14081" width="101" style="70" customWidth="1"/>
    <col min="14082" max="14082" width="15.28515625" style="70" customWidth="1"/>
    <col min="14083" max="14083" width="15.7109375" style="70" customWidth="1"/>
    <col min="14084" max="14084" width="7.85546875" style="70" customWidth="1"/>
    <col min="14085" max="14336" width="9.140625" style="70"/>
    <col min="14337" max="14337" width="101" style="70" customWidth="1"/>
    <col min="14338" max="14338" width="15.28515625" style="70" customWidth="1"/>
    <col min="14339" max="14339" width="15.7109375" style="70" customWidth="1"/>
    <col min="14340" max="14340" width="7.85546875" style="70" customWidth="1"/>
    <col min="14341" max="14592" width="9.140625" style="70"/>
    <col min="14593" max="14593" width="101" style="70" customWidth="1"/>
    <col min="14594" max="14594" width="15.28515625" style="70" customWidth="1"/>
    <col min="14595" max="14595" width="15.7109375" style="70" customWidth="1"/>
    <col min="14596" max="14596" width="7.85546875" style="70" customWidth="1"/>
    <col min="14597" max="14848" width="9.140625" style="70"/>
    <col min="14849" max="14849" width="101" style="70" customWidth="1"/>
    <col min="14850" max="14850" width="15.28515625" style="70" customWidth="1"/>
    <col min="14851" max="14851" width="15.7109375" style="70" customWidth="1"/>
    <col min="14852" max="14852" width="7.85546875" style="70" customWidth="1"/>
    <col min="14853" max="15104" width="9.140625" style="70"/>
    <col min="15105" max="15105" width="101" style="70" customWidth="1"/>
    <col min="15106" max="15106" width="15.28515625" style="70" customWidth="1"/>
    <col min="15107" max="15107" width="15.7109375" style="70" customWidth="1"/>
    <col min="15108" max="15108" width="7.85546875" style="70" customWidth="1"/>
    <col min="15109" max="15360" width="9.140625" style="70"/>
    <col min="15361" max="15361" width="101" style="70" customWidth="1"/>
    <col min="15362" max="15362" width="15.28515625" style="70" customWidth="1"/>
    <col min="15363" max="15363" width="15.7109375" style="70" customWidth="1"/>
    <col min="15364" max="15364" width="7.85546875" style="70" customWidth="1"/>
    <col min="15365" max="15616" width="9.140625" style="70"/>
    <col min="15617" max="15617" width="101" style="70" customWidth="1"/>
    <col min="15618" max="15618" width="15.28515625" style="70" customWidth="1"/>
    <col min="15619" max="15619" width="15.7109375" style="70" customWidth="1"/>
    <col min="15620" max="15620" width="7.85546875" style="70" customWidth="1"/>
    <col min="15621" max="15872" width="9.140625" style="70"/>
    <col min="15873" max="15873" width="101" style="70" customWidth="1"/>
    <col min="15874" max="15874" width="15.28515625" style="70" customWidth="1"/>
    <col min="15875" max="15875" width="15.7109375" style="70" customWidth="1"/>
    <col min="15876" max="15876" width="7.85546875" style="70" customWidth="1"/>
    <col min="15877" max="16128" width="9.140625" style="70"/>
    <col min="16129" max="16129" width="101" style="70" customWidth="1"/>
    <col min="16130" max="16130" width="15.28515625" style="70" customWidth="1"/>
    <col min="16131" max="16131" width="15.7109375" style="70" customWidth="1"/>
    <col min="16132" max="16132" width="7.85546875" style="70" customWidth="1"/>
    <col min="16133" max="16384" width="9.140625" style="70"/>
  </cols>
  <sheetData>
    <row r="1" spans="1:4" x14ac:dyDescent="0.25">
      <c r="A1" s="132" t="s">
        <v>86</v>
      </c>
    </row>
    <row r="3" spans="1:4" x14ac:dyDescent="0.25">
      <c r="A3" s="322" t="s">
        <v>122</v>
      </c>
      <c r="B3" s="140" t="s">
        <v>118</v>
      </c>
      <c r="C3" s="318" t="s">
        <v>120</v>
      </c>
      <c r="D3" s="320" t="s">
        <v>121</v>
      </c>
    </row>
    <row r="4" spans="1:4" x14ac:dyDescent="0.25">
      <c r="A4" s="323"/>
      <c r="B4" s="141" t="s">
        <v>119</v>
      </c>
      <c r="C4" s="319"/>
      <c r="D4" s="321"/>
    </row>
    <row r="5" spans="1:4" x14ac:dyDescent="0.25">
      <c r="A5" s="71" t="s">
        <v>87</v>
      </c>
      <c r="B5" s="278">
        <v>70343.08</v>
      </c>
      <c r="C5" s="278">
        <v>67688.63</v>
      </c>
      <c r="D5" s="278">
        <v>67688.63</v>
      </c>
    </row>
    <row r="6" spans="1:4" x14ac:dyDescent="0.25">
      <c r="A6" s="71" t="s">
        <v>88</v>
      </c>
      <c r="B6" s="278">
        <v>12264.56</v>
      </c>
      <c r="C6" s="278">
        <v>17227.53</v>
      </c>
      <c r="D6" s="278">
        <v>17360.240000000002</v>
      </c>
    </row>
    <row r="7" spans="1:4" x14ac:dyDescent="0.25">
      <c r="A7" s="71" t="s">
        <v>89</v>
      </c>
      <c r="B7" s="278">
        <v>2189.9299999999998</v>
      </c>
      <c r="C7" s="278">
        <v>2250.3200000000002</v>
      </c>
      <c r="D7" s="278">
        <v>2257.61</v>
      </c>
    </row>
    <row r="8" spans="1:4" x14ac:dyDescent="0.25">
      <c r="A8" s="71" t="s">
        <v>90</v>
      </c>
      <c r="B8" s="278">
        <v>3318.07</v>
      </c>
      <c r="C8" s="278">
        <v>3318.07</v>
      </c>
      <c r="D8" s="278">
        <v>3318.07</v>
      </c>
    </row>
    <row r="9" spans="1:4" x14ac:dyDescent="0.25">
      <c r="A9" s="71" t="s">
        <v>91</v>
      </c>
      <c r="B9" s="278">
        <v>0</v>
      </c>
      <c r="C9" s="278">
        <v>0</v>
      </c>
      <c r="D9" s="278">
        <v>0</v>
      </c>
    </row>
    <row r="10" spans="1:4" x14ac:dyDescent="0.25">
      <c r="A10" s="71" t="s">
        <v>92</v>
      </c>
      <c r="B10" s="278">
        <v>0</v>
      </c>
      <c r="C10" s="278">
        <v>0</v>
      </c>
      <c r="D10" s="278">
        <v>0</v>
      </c>
    </row>
    <row r="11" spans="1:4" x14ac:dyDescent="0.25">
      <c r="A11" s="71" t="s">
        <v>93</v>
      </c>
      <c r="B11" s="278">
        <v>265.45</v>
      </c>
      <c r="C11" s="278">
        <v>265.45</v>
      </c>
      <c r="D11" s="278">
        <v>265.45</v>
      </c>
    </row>
    <row r="12" spans="1:4" ht="30.75" customHeight="1" x14ac:dyDescent="0.25">
      <c r="A12" s="129" t="s">
        <v>94</v>
      </c>
      <c r="B12" s="278">
        <v>0</v>
      </c>
      <c r="C12" s="278">
        <v>0</v>
      </c>
      <c r="D12" s="278">
        <v>0</v>
      </c>
    </row>
    <row r="13" spans="1:4" x14ac:dyDescent="0.25">
      <c r="A13" s="71" t="s">
        <v>95</v>
      </c>
      <c r="B13" s="278">
        <v>0</v>
      </c>
      <c r="C13" s="278">
        <v>0</v>
      </c>
      <c r="D13" s="278">
        <v>0</v>
      </c>
    </row>
    <row r="14" spans="1:4" x14ac:dyDescent="0.25">
      <c r="A14" s="72" t="s">
        <v>96</v>
      </c>
      <c r="B14" s="279">
        <v>5308.91</v>
      </c>
      <c r="C14" s="279">
        <v>0</v>
      </c>
      <c r="D14" s="279">
        <v>0</v>
      </c>
    </row>
    <row r="15" spans="1:4" x14ac:dyDescent="0.25">
      <c r="A15" s="128" t="s">
        <v>129</v>
      </c>
      <c r="B15" s="130">
        <f>SUM(B5:B14)</f>
        <v>93690</v>
      </c>
      <c r="C15" s="131">
        <f>SUM(C5:C14)</f>
        <v>90750.000000000015</v>
      </c>
      <c r="D15" s="130">
        <f>SUM(D5:D14)</f>
        <v>90890.000000000015</v>
      </c>
    </row>
    <row r="16" spans="1:4" x14ac:dyDescent="0.25">
      <c r="A16" s="280"/>
      <c r="B16" s="281"/>
      <c r="C16" s="282"/>
      <c r="D16" s="281"/>
    </row>
    <row r="17" spans="1:4" x14ac:dyDescent="0.25">
      <c r="A17" s="280"/>
      <c r="B17" s="281"/>
      <c r="C17" s="282"/>
      <c r="D17" s="281"/>
    </row>
    <row r="18" spans="1:4" x14ac:dyDescent="0.25">
      <c r="A18" s="280"/>
      <c r="B18" s="281"/>
      <c r="C18" s="282"/>
      <c r="D18" s="281"/>
    </row>
    <row r="19" spans="1:4" x14ac:dyDescent="0.25">
      <c r="A19" s="280"/>
      <c r="B19" s="281"/>
      <c r="C19" s="282"/>
      <c r="D19" s="281"/>
    </row>
    <row r="20" spans="1:4" x14ac:dyDescent="0.25">
      <c r="A20" s="280"/>
      <c r="B20" s="281"/>
      <c r="C20" s="282"/>
      <c r="D20" s="281"/>
    </row>
    <row r="21" spans="1:4" x14ac:dyDescent="0.25">
      <c r="A21" s="280"/>
      <c r="B21" s="281"/>
      <c r="C21" s="282"/>
      <c r="D21" s="281"/>
    </row>
    <row r="22" spans="1:4" x14ac:dyDescent="0.25">
      <c r="A22" s="280"/>
      <c r="B22" s="281"/>
      <c r="C22" s="282"/>
      <c r="D22" s="281"/>
    </row>
    <row r="23" spans="1:4" x14ac:dyDescent="0.25">
      <c r="A23" s="280"/>
      <c r="B23" s="281"/>
      <c r="C23" s="282"/>
      <c r="D23" s="281"/>
    </row>
    <row r="24" spans="1:4" x14ac:dyDescent="0.25">
      <c r="A24" s="280"/>
      <c r="B24" s="281"/>
      <c r="C24" s="282"/>
      <c r="D24" s="281"/>
    </row>
    <row r="25" spans="1:4" x14ac:dyDescent="0.25">
      <c r="A25" s="280"/>
      <c r="B25" s="281"/>
      <c r="C25" s="282"/>
      <c r="D25" s="281"/>
    </row>
    <row r="26" spans="1:4" x14ac:dyDescent="0.25">
      <c r="A26" s="280"/>
      <c r="B26" s="281"/>
      <c r="C26" s="282"/>
      <c r="D26" s="281"/>
    </row>
    <row r="27" spans="1:4" x14ac:dyDescent="0.25">
      <c r="A27" s="280"/>
      <c r="B27" s="281"/>
      <c r="C27" s="282"/>
      <c r="D27" s="281"/>
    </row>
    <row r="28" spans="1:4" x14ac:dyDescent="0.25">
      <c r="A28" s="280"/>
      <c r="B28" s="281"/>
      <c r="C28" s="282"/>
      <c r="D28" s="281"/>
    </row>
    <row r="29" spans="1:4" x14ac:dyDescent="0.25">
      <c r="A29" s="280"/>
      <c r="B29" s="281"/>
      <c r="C29" s="282"/>
      <c r="D29" s="281"/>
    </row>
    <row r="30" spans="1:4" x14ac:dyDescent="0.25">
      <c r="A30" s="280"/>
      <c r="B30" s="281"/>
      <c r="C30" s="282"/>
      <c r="D30" s="281"/>
    </row>
    <row r="33" spans="1:5" x14ac:dyDescent="0.25">
      <c r="A33" s="75" t="s">
        <v>97</v>
      </c>
    </row>
    <row r="35" spans="1:5" x14ac:dyDescent="0.25">
      <c r="A35" s="322" t="s">
        <v>122</v>
      </c>
      <c r="B35" s="140" t="s">
        <v>118</v>
      </c>
      <c r="C35" s="318" t="s">
        <v>120</v>
      </c>
      <c r="D35" s="320" t="s">
        <v>121</v>
      </c>
      <c r="E35" s="87"/>
    </row>
    <row r="36" spans="1:5" x14ac:dyDescent="0.25">
      <c r="A36" s="323"/>
      <c r="B36" s="141" t="s">
        <v>119</v>
      </c>
      <c r="C36" s="319"/>
      <c r="D36" s="321"/>
      <c r="E36" s="87"/>
    </row>
    <row r="37" spans="1:5" x14ac:dyDescent="0.25">
      <c r="A37" s="142" t="s">
        <v>104</v>
      </c>
      <c r="B37" s="143"/>
      <c r="C37" s="143"/>
      <c r="D37" s="143"/>
      <c r="E37" s="87"/>
    </row>
    <row r="38" spans="1:5" x14ac:dyDescent="0.25">
      <c r="A38" s="139" t="s">
        <v>5</v>
      </c>
      <c r="B38" s="144">
        <f>SUM(B39:B40)</f>
        <v>61052.47</v>
      </c>
      <c r="C38" s="144">
        <f t="shared" ref="C38:D38" si="0">SUM(C39:C40)</f>
        <v>60919.770000000004</v>
      </c>
      <c r="D38" s="144">
        <f t="shared" si="0"/>
        <v>61052.49</v>
      </c>
      <c r="E38" s="87"/>
    </row>
    <row r="39" spans="1:5" x14ac:dyDescent="0.25">
      <c r="A39" s="133" t="s">
        <v>87</v>
      </c>
      <c r="B39" s="138">
        <v>59042.39</v>
      </c>
      <c r="C39" s="138">
        <v>57946.8</v>
      </c>
      <c r="D39" s="138">
        <v>58212.25</v>
      </c>
      <c r="E39" s="87"/>
    </row>
    <row r="40" spans="1:5" x14ac:dyDescent="0.25">
      <c r="A40" s="133" t="s">
        <v>88</v>
      </c>
      <c r="B40" s="138">
        <v>2010.08</v>
      </c>
      <c r="C40" s="138">
        <v>2972.97</v>
      </c>
      <c r="D40" s="138">
        <v>2840.24</v>
      </c>
      <c r="E40" s="87"/>
    </row>
    <row r="41" spans="1:5" x14ac:dyDescent="0.25">
      <c r="A41" s="139" t="s">
        <v>9</v>
      </c>
      <c r="B41" s="144">
        <f>SUM(B42:B45)</f>
        <v>23797.199999999997</v>
      </c>
      <c r="C41" s="144">
        <f t="shared" ref="C41:D41" si="1">SUM(C42:C45)</f>
        <v>24149.56</v>
      </c>
      <c r="D41" s="144">
        <f t="shared" si="1"/>
        <v>24156.84</v>
      </c>
      <c r="E41" s="87"/>
    </row>
    <row r="42" spans="1:5" x14ac:dyDescent="0.25">
      <c r="A42" s="133" t="s">
        <v>87</v>
      </c>
      <c r="B42" s="138">
        <v>7080.1</v>
      </c>
      <c r="C42" s="138">
        <v>8228.7900000000009</v>
      </c>
      <c r="D42" s="138">
        <v>7963.34</v>
      </c>
      <c r="E42" s="87"/>
    </row>
    <row r="43" spans="1:5" x14ac:dyDescent="0.25">
      <c r="A43" s="133" t="s">
        <v>88</v>
      </c>
      <c r="B43" s="138">
        <v>9483.7099999999991</v>
      </c>
      <c r="C43" s="138">
        <v>13935.9</v>
      </c>
      <c r="D43" s="138">
        <v>14201.34</v>
      </c>
      <c r="E43" s="87"/>
    </row>
    <row r="44" spans="1:5" x14ac:dyDescent="0.25">
      <c r="A44" s="133" t="s">
        <v>89</v>
      </c>
      <c r="B44" s="138">
        <v>1924.48</v>
      </c>
      <c r="C44" s="138">
        <v>1984.87</v>
      </c>
      <c r="D44" s="138">
        <v>1992.16</v>
      </c>
      <c r="E44" s="87"/>
    </row>
    <row r="45" spans="1:5" x14ac:dyDescent="0.25">
      <c r="A45" s="133" t="s">
        <v>96</v>
      </c>
      <c r="B45" s="138">
        <v>5308.91</v>
      </c>
      <c r="C45" s="138">
        <v>0</v>
      </c>
      <c r="D45" s="138">
        <v>0</v>
      </c>
      <c r="E45" s="87"/>
    </row>
    <row r="46" spans="1:5" x14ac:dyDescent="0.25">
      <c r="A46" s="139" t="s">
        <v>123</v>
      </c>
      <c r="B46" s="144">
        <f>SUM(B47:B48)</f>
        <v>372.59000000000003</v>
      </c>
      <c r="C46" s="144">
        <f t="shared" ref="C46:D46" si="2">SUM(C47:C48)</f>
        <v>371.75</v>
      </c>
      <c r="D46" s="144">
        <f t="shared" si="2"/>
        <v>371.75</v>
      </c>
      <c r="E46" s="87"/>
    </row>
    <row r="47" spans="1:5" x14ac:dyDescent="0.25">
      <c r="A47" s="133" t="s">
        <v>87</v>
      </c>
      <c r="B47" s="138">
        <v>185.81</v>
      </c>
      <c r="C47" s="138">
        <v>185.81</v>
      </c>
      <c r="D47" s="138">
        <v>185.81</v>
      </c>
      <c r="E47" s="87"/>
    </row>
    <row r="48" spans="1:5" x14ac:dyDescent="0.25">
      <c r="A48" s="133" t="s">
        <v>88</v>
      </c>
      <c r="B48" s="138">
        <v>186.78</v>
      </c>
      <c r="C48" s="138">
        <v>185.94</v>
      </c>
      <c r="D48" s="138">
        <v>185.94</v>
      </c>
      <c r="E48" s="87"/>
    </row>
    <row r="49" spans="1:5" x14ac:dyDescent="0.25">
      <c r="A49" s="142" t="s">
        <v>23</v>
      </c>
      <c r="B49" s="143"/>
      <c r="C49" s="143"/>
      <c r="D49" s="143"/>
      <c r="E49" s="87"/>
    </row>
    <row r="50" spans="1:5" x14ac:dyDescent="0.25">
      <c r="A50" s="139" t="s">
        <v>28</v>
      </c>
      <c r="B50" s="144">
        <f>SUM(B51:B55)</f>
        <v>8467.7400000000016</v>
      </c>
      <c r="C50" s="144">
        <f t="shared" ref="C50:D50" si="3">SUM(C51:C55)</f>
        <v>5308.92</v>
      </c>
      <c r="D50" s="144">
        <f t="shared" si="3"/>
        <v>5308.92</v>
      </c>
      <c r="E50" s="87"/>
    </row>
    <row r="51" spans="1:5" x14ac:dyDescent="0.25">
      <c r="A51" s="133" t="s">
        <v>87</v>
      </c>
      <c r="B51" s="138">
        <v>4034.78</v>
      </c>
      <c r="C51" s="138">
        <v>1327.23</v>
      </c>
      <c r="D51" s="138">
        <v>1327.23</v>
      </c>
      <c r="E51" s="87"/>
    </row>
    <row r="52" spans="1:5" x14ac:dyDescent="0.25">
      <c r="A52" s="133" t="s">
        <v>88</v>
      </c>
      <c r="B52" s="138">
        <v>583.99</v>
      </c>
      <c r="C52" s="138">
        <v>132.72</v>
      </c>
      <c r="D52" s="138">
        <v>132.72</v>
      </c>
      <c r="E52" s="87"/>
    </row>
    <row r="53" spans="1:5" x14ac:dyDescent="0.25">
      <c r="A53" s="133" t="s">
        <v>89</v>
      </c>
      <c r="B53" s="138">
        <v>265.45</v>
      </c>
      <c r="C53" s="138">
        <v>265.45</v>
      </c>
      <c r="D53" s="138">
        <v>265.45</v>
      </c>
      <c r="E53" s="87"/>
    </row>
    <row r="54" spans="1:5" x14ac:dyDescent="0.25">
      <c r="A54" s="133" t="s">
        <v>90</v>
      </c>
      <c r="B54" s="138">
        <v>3318.07</v>
      </c>
      <c r="C54" s="138">
        <v>3318.07</v>
      </c>
      <c r="D54" s="138">
        <v>3318.07</v>
      </c>
      <c r="E54" s="87"/>
    </row>
    <row r="55" spans="1:5" x14ac:dyDescent="0.25">
      <c r="A55" s="133" t="s">
        <v>93</v>
      </c>
      <c r="B55" s="138">
        <v>265.45</v>
      </c>
      <c r="C55" s="138">
        <v>265.45</v>
      </c>
      <c r="D55" s="138">
        <v>265.45</v>
      </c>
      <c r="E55" s="87"/>
    </row>
    <row r="56" spans="1:5" s="136" customFormat="1" x14ac:dyDescent="0.25">
      <c r="A56" s="134" t="s">
        <v>124</v>
      </c>
      <c r="B56" s="137">
        <f>SUM(B38,B41,B46,B50)</f>
        <v>93690</v>
      </c>
      <c r="C56" s="137">
        <f t="shared" ref="C56:D56" si="4">SUM(C38,C41,C46,C50)</f>
        <v>90750</v>
      </c>
      <c r="D56" s="137">
        <f t="shared" si="4"/>
        <v>90890</v>
      </c>
      <c r="E56" s="135"/>
    </row>
    <row r="58" spans="1:5" x14ac:dyDescent="0.25">
      <c r="B58" s="73"/>
      <c r="C58" s="74"/>
      <c r="D58" s="73"/>
    </row>
  </sheetData>
  <mergeCells count="6">
    <mergeCell ref="C3:C4"/>
    <mergeCell ref="C35:C36"/>
    <mergeCell ref="D3:D4"/>
    <mergeCell ref="A3:A4"/>
    <mergeCell ref="A35:A36"/>
    <mergeCell ref="D35:D3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opLeftCell="A7" workbookViewId="0">
      <selection activeCell="N26" sqref="N26"/>
    </sheetView>
  </sheetViews>
  <sheetFormatPr defaultColWidth="11.42578125" defaultRowHeight="12.75" x14ac:dyDescent="0.2"/>
  <cols>
    <col min="1" max="1" width="13.85546875" style="39" customWidth="1"/>
    <col min="2" max="3" width="13.7109375" style="39" customWidth="1"/>
    <col min="4" max="4" width="15" style="39" customWidth="1"/>
    <col min="5" max="5" width="13.140625" style="39" customWidth="1"/>
    <col min="6" max="6" width="11.42578125" style="39"/>
    <col min="7" max="7" width="17.28515625" style="39" customWidth="1"/>
    <col min="8" max="245" width="11.42578125" style="39"/>
    <col min="246" max="246" width="16" style="39" customWidth="1"/>
    <col min="247" max="253" width="17.5703125" style="39" customWidth="1"/>
    <col min="254" max="254" width="7.85546875" style="39" customWidth="1"/>
    <col min="255" max="255" width="14.28515625" style="39" customWidth="1"/>
    <col min="256" max="256" width="7.85546875" style="39" customWidth="1"/>
    <col min="257" max="501" width="11.42578125" style="39"/>
    <col min="502" max="502" width="16" style="39" customWidth="1"/>
    <col min="503" max="509" width="17.5703125" style="39" customWidth="1"/>
    <col min="510" max="510" width="7.85546875" style="39" customWidth="1"/>
    <col min="511" max="511" width="14.28515625" style="39" customWidth="1"/>
    <col min="512" max="512" width="7.85546875" style="39" customWidth="1"/>
    <col min="513" max="757" width="11.42578125" style="39"/>
    <col min="758" max="758" width="16" style="39" customWidth="1"/>
    <col min="759" max="765" width="17.5703125" style="39" customWidth="1"/>
    <col min="766" max="766" width="7.85546875" style="39" customWidth="1"/>
    <col min="767" max="767" width="14.28515625" style="39" customWidth="1"/>
    <col min="768" max="768" width="7.85546875" style="39" customWidth="1"/>
    <col min="769" max="1013" width="11.42578125" style="39"/>
    <col min="1014" max="1014" width="16" style="39" customWidth="1"/>
    <col min="1015" max="1021" width="17.5703125" style="39" customWidth="1"/>
    <col min="1022" max="1022" width="7.85546875" style="39" customWidth="1"/>
    <col min="1023" max="1023" width="14.28515625" style="39" customWidth="1"/>
    <col min="1024" max="1024" width="7.85546875" style="39" customWidth="1"/>
    <col min="1025" max="1269" width="11.42578125" style="39"/>
    <col min="1270" max="1270" width="16" style="39" customWidth="1"/>
    <col min="1271" max="1277" width="17.5703125" style="39" customWidth="1"/>
    <col min="1278" max="1278" width="7.85546875" style="39" customWidth="1"/>
    <col min="1279" max="1279" width="14.28515625" style="39" customWidth="1"/>
    <col min="1280" max="1280" width="7.85546875" style="39" customWidth="1"/>
    <col min="1281" max="1525" width="11.42578125" style="39"/>
    <col min="1526" max="1526" width="16" style="39" customWidth="1"/>
    <col min="1527" max="1533" width="17.5703125" style="39" customWidth="1"/>
    <col min="1534" max="1534" width="7.85546875" style="39" customWidth="1"/>
    <col min="1535" max="1535" width="14.28515625" style="39" customWidth="1"/>
    <col min="1536" max="1536" width="7.85546875" style="39" customWidth="1"/>
    <col min="1537" max="1781" width="11.42578125" style="39"/>
    <col min="1782" max="1782" width="16" style="39" customWidth="1"/>
    <col min="1783" max="1789" width="17.5703125" style="39" customWidth="1"/>
    <col min="1790" max="1790" width="7.85546875" style="39" customWidth="1"/>
    <col min="1791" max="1791" width="14.28515625" style="39" customWidth="1"/>
    <col min="1792" max="1792" width="7.85546875" style="39" customWidth="1"/>
    <col min="1793" max="2037" width="11.42578125" style="39"/>
    <col min="2038" max="2038" width="16" style="39" customWidth="1"/>
    <col min="2039" max="2045" width="17.5703125" style="39" customWidth="1"/>
    <col min="2046" max="2046" width="7.85546875" style="39" customWidth="1"/>
    <col min="2047" max="2047" width="14.28515625" style="39" customWidth="1"/>
    <col min="2048" max="2048" width="7.85546875" style="39" customWidth="1"/>
    <col min="2049" max="2293" width="11.42578125" style="39"/>
    <col min="2294" max="2294" width="16" style="39" customWidth="1"/>
    <col min="2295" max="2301" width="17.5703125" style="39" customWidth="1"/>
    <col min="2302" max="2302" width="7.85546875" style="39" customWidth="1"/>
    <col min="2303" max="2303" width="14.28515625" style="39" customWidth="1"/>
    <col min="2304" max="2304" width="7.85546875" style="39" customWidth="1"/>
    <col min="2305" max="2549" width="11.42578125" style="39"/>
    <col min="2550" max="2550" width="16" style="39" customWidth="1"/>
    <col min="2551" max="2557" width="17.5703125" style="39" customWidth="1"/>
    <col min="2558" max="2558" width="7.85546875" style="39" customWidth="1"/>
    <col min="2559" max="2559" width="14.28515625" style="39" customWidth="1"/>
    <col min="2560" max="2560" width="7.85546875" style="39" customWidth="1"/>
    <col min="2561" max="2805" width="11.42578125" style="39"/>
    <col min="2806" max="2806" width="16" style="39" customWidth="1"/>
    <col min="2807" max="2813" width="17.5703125" style="39" customWidth="1"/>
    <col min="2814" max="2814" width="7.85546875" style="39" customWidth="1"/>
    <col min="2815" max="2815" width="14.28515625" style="39" customWidth="1"/>
    <col min="2816" max="2816" width="7.85546875" style="39" customWidth="1"/>
    <col min="2817" max="3061" width="11.42578125" style="39"/>
    <col min="3062" max="3062" width="16" style="39" customWidth="1"/>
    <col min="3063" max="3069" width="17.5703125" style="39" customWidth="1"/>
    <col min="3070" max="3070" width="7.85546875" style="39" customWidth="1"/>
    <col min="3071" max="3071" width="14.28515625" style="39" customWidth="1"/>
    <col min="3072" max="3072" width="7.85546875" style="39" customWidth="1"/>
    <col min="3073" max="3317" width="11.42578125" style="39"/>
    <col min="3318" max="3318" width="16" style="39" customWidth="1"/>
    <col min="3319" max="3325" width="17.5703125" style="39" customWidth="1"/>
    <col min="3326" max="3326" width="7.85546875" style="39" customWidth="1"/>
    <col min="3327" max="3327" width="14.28515625" style="39" customWidth="1"/>
    <col min="3328" max="3328" width="7.85546875" style="39" customWidth="1"/>
    <col min="3329" max="3573" width="11.42578125" style="39"/>
    <col min="3574" max="3574" width="16" style="39" customWidth="1"/>
    <col min="3575" max="3581" width="17.5703125" style="39" customWidth="1"/>
    <col min="3582" max="3582" width="7.85546875" style="39" customWidth="1"/>
    <col min="3583" max="3583" width="14.28515625" style="39" customWidth="1"/>
    <col min="3584" max="3584" width="7.85546875" style="39" customWidth="1"/>
    <col min="3585" max="3829" width="11.42578125" style="39"/>
    <col min="3830" max="3830" width="16" style="39" customWidth="1"/>
    <col min="3831" max="3837" width="17.5703125" style="39" customWidth="1"/>
    <col min="3838" max="3838" width="7.85546875" style="39" customWidth="1"/>
    <col min="3839" max="3839" width="14.28515625" style="39" customWidth="1"/>
    <col min="3840" max="3840" width="7.85546875" style="39" customWidth="1"/>
    <col min="3841" max="4085" width="11.42578125" style="39"/>
    <col min="4086" max="4086" width="16" style="39" customWidth="1"/>
    <col min="4087" max="4093" width="17.5703125" style="39" customWidth="1"/>
    <col min="4094" max="4094" width="7.85546875" style="39" customWidth="1"/>
    <col min="4095" max="4095" width="14.28515625" style="39" customWidth="1"/>
    <col min="4096" max="4096" width="7.85546875" style="39" customWidth="1"/>
    <col min="4097" max="4341" width="11.42578125" style="39"/>
    <col min="4342" max="4342" width="16" style="39" customWidth="1"/>
    <col min="4343" max="4349" width="17.5703125" style="39" customWidth="1"/>
    <col min="4350" max="4350" width="7.85546875" style="39" customWidth="1"/>
    <col min="4351" max="4351" width="14.28515625" style="39" customWidth="1"/>
    <col min="4352" max="4352" width="7.85546875" style="39" customWidth="1"/>
    <col min="4353" max="4597" width="11.42578125" style="39"/>
    <col min="4598" max="4598" width="16" style="39" customWidth="1"/>
    <col min="4599" max="4605" width="17.5703125" style="39" customWidth="1"/>
    <col min="4606" max="4606" width="7.85546875" style="39" customWidth="1"/>
    <col min="4607" max="4607" width="14.28515625" style="39" customWidth="1"/>
    <col min="4608" max="4608" width="7.85546875" style="39" customWidth="1"/>
    <col min="4609" max="4853" width="11.42578125" style="39"/>
    <col min="4854" max="4854" width="16" style="39" customWidth="1"/>
    <col min="4855" max="4861" width="17.5703125" style="39" customWidth="1"/>
    <col min="4862" max="4862" width="7.85546875" style="39" customWidth="1"/>
    <col min="4863" max="4863" width="14.28515625" style="39" customWidth="1"/>
    <col min="4864" max="4864" width="7.85546875" style="39" customWidth="1"/>
    <col min="4865" max="5109" width="11.42578125" style="39"/>
    <col min="5110" max="5110" width="16" style="39" customWidth="1"/>
    <col min="5111" max="5117" width="17.5703125" style="39" customWidth="1"/>
    <col min="5118" max="5118" width="7.85546875" style="39" customWidth="1"/>
    <col min="5119" max="5119" width="14.28515625" style="39" customWidth="1"/>
    <col min="5120" max="5120" width="7.85546875" style="39" customWidth="1"/>
    <col min="5121" max="5365" width="11.42578125" style="39"/>
    <col min="5366" max="5366" width="16" style="39" customWidth="1"/>
    <col min="5367" max="5373" width="17.5703125" style="39" customWidth="1"/>
    <col min="5374" max="5374" width="7.85546875" style="39" customWidth="1"/>
    <col min="5375" max="5375" width="14.28515625" style="39" customWidth="1"/>
    <col min="5376" max="5376" width="7.85546875" style="39" customWidth="1"/>
    <col min="5377" max="5621" width="11.42578125" style="39"/>
    <col min="5622" max="5622" width="16" style="39" customWidth="1"/>
    <col min="5623" max="5629" width="17.5703125" style="39" customWidth="1"/>
    <col min="5630" max="5630" width="7.85546875" style="39" customWidth="1"/>
    <col min="5631" max="5631" width="14.28515625" style="39" customWidth="1"/>
    <col min="5632" max="5632" width="7.85546875" style="39" customWidth="1"/>
    <col min="5633" max="5877" width="11.42578125" style="39"/>
    <col min="5878" max="5878" width="16" style="39" customWidth="1"/>
    <col min="5879" max="5885" width="17.5703125" style="39" customWidth="1"/>
    <col min="5886" max="5886" width="7.85546875" style="39" customWidth="1"/>
    <col min="5887" max="5887" width="14.28515625" style="39" customWidth="1"/>
    <col min="5888" max="5888" width="7.85546875" style="39" customWidth="1"/>
    <col min="5889" max="6133" width="11.42578125" style="39"/>
    <col min="6134" max="6134" width="16" style="39" customWidth="1"/>
    <col min="6135" max="6141" width="17.5703125" style="39" customWidth="1"/>
    <col min="6142" max="6142" width="7.85546875" style="39" customWidth="1"/>
    <col min="6143" max="6143" width="14.28515625" style="39" customWidth="1"/>
    <col min="6144" max="6144" width="7.85546875" style="39" customWidth="1"/>
    <col min="6145" max="6389" width="11.42578125" style="39"/>
    <col min="6390" max="6390" width="16" style="39" customWidth="1"/>
    <col min="6391" max="6397" width="17.5703125" style="39" customWidth="1"/>
    <col min="6398" max="6398" width="7.85546875" style="39" customWidth="1"/>
    <col min="6399" max="6399" width="14.28515625" style="39" customWidth="1"/>
    <col min="6400" max="6400" width="7.85546875" style="39" customWidth="1"/>
    <col min="6401" max="6645" width="11.42578125" style="39"/>
    <col min="6646" max="6646" width="16" style="39" customWidth="1"/>
    <col min="6647" max="6653" width="17.5703125" style="39" customWidth="1"/>
    <col min="6654" max="6654" width="7.85546875" style="39" customWidth="1"/>
    <col min="6655" max="6655" width="14.28515625" style="39" customWidth="1"/>
    <col min="6656" max="6656" width="7.85546875" style="39" customWidth="1"/>
    <col min="6657" max="6901" width="11.42578125" style="39"/>
    <col min="6902" max="6902" width="16" style="39" customWidth="1"/>
    <col min="6903" max="6909" width="17.5703125" style="39" customWidth="1"/>
    <col min="6910" max="6910" width="7.85546875" style="39" customWidth="1"/>
    <col min="6911" max="6911" width="14.28515625" style="39" customWidth="1"/>
    <col min="6912" max="6912" width="7.85546875" style="39" customWidth="1"/>
    <col min="6913" max="7157" width="11.42578125" style="39"/>
    <col min="7158" max="7158" width="16" style="39" customWidth="1"/>
    <col min="7159" max="7165" width="17.5703125" style="39" customWidth="1"/>
    <col min="7166" max="7166" width="7.85546875" style="39" customWidth="1"/>
    <col min="7167" max="7167" width="14.28515625" style="39" customWidth="1"/>
    <col min="7168" max="7168" width="7.85546875" style="39" customWidth="1"/>
    <col min="7169" max="7413" width="11.42578125" style="39"/>
    <col min="7414" max="7414" width="16" style="39" customWidth="1"/>
    <col min="7415" max="7421" width="17.5703125" style="39" customWidth="1"/>
    <col min="7422" max="7422" width="7.85546875" style="39" customWidth="1"/>
    <col min="7423" max="7423" width="14.28515625" style="39" customWidth="1"/>
    <col min="7424" max="7424" width="7.85546875" style="39" customWidth="1"/>
    <col min="7425" max="7669" width="11.42578125" style="39"/>
    <col min="7670" max="7670" width="16" style="39" customWidth="1"/>
    <col min="7671" max="7677" width="17.5703125" style="39" customWidth="1"/>
    <col min="7678" max="7678" width="7.85546875" style="39" customWidth="1"/>
    <col min="7679" max="7679" width="14.28515625" style="39" customWidth="1"/>
    <col min="7680" max="7680" width="7.85546875" style="39" customWidth="1"/>
    <col min="7681" max="7925" width="11.42578125" style="39"/>
    <col min="7926" max="7926" width="16" style="39" customWidth="1"/>
    <col min="7927" max="7933" width="17.5703125" style="39" customWidth="1"/>
    <col min="7934" max="7934" width="7.85546875" style="39" customWidth="1"/>
    <col min="7935" max="7935" width="14.28515625" style="39" customWidth="1"/>
    <col min="7936" max="7936" width="7.85546875" style="39" customWidth="1"/>
    <col min="7937" max="8181" width="11.42578125" style="39"/>
    <col min="8182" max="8182" width="16" style="39" customWidth="1"/>
    <col min="8183" max="8189" width="17.5703125" style="39" customWidth="1"/>
    <col min="8190" max="8190" width="7.85546875" style="39" customWidth="1"/>
    <col min="8191" max="8191" width="14.28515625" style="39" customWidth="1"/>
    <col min="8192" max="8192" width="7.85546875" style="39" customWidth="1"/>
    <col min="8193" max="8437" width="11.42578125" style="39"/>
    <col min="8438" max="8438" width="16" style="39" customWidth="1"/>
    <col min="8439" max="8445" width="17.5703125" style="39" customWidth="1"/>
    <col min="8446" max="8446" width="7.85546875" style="39" customWidth="1"/>
    <col min="8447" max="8447" width="14.28515625" style="39" customWidth="1"/>
    <col min="8448" max="8448" width="7.85546875" style="39" customWidth="1"/>
    <col min="8449" max="8693" width="11.42578125" style="39"/>
    <col min="8694" max="8694" width="16" style="39" customWidth="1"/>
    <col min="8695" max="8701" width="17.5703125" style="39" customWidth="1"/>
    <col min="8702" max="8702" width="7.85546875" style="39" customWidth="1"/>
    <col min="8703" max="8703" width="14.28515625" style="39" customWidth="1"/>
    <col min="8704" max="8704" width="7.85546875" style="39" customWidth="1"/>
    <col min="8705" max="8949" width="11.42578125" style="39"/>
    <col min="8950" max="8950" width="16" style="39" customWidth="1"/>
    <col min="8951" max="8957" width="17.5703125" style="39" customWidth="1"/>
    <col min="8958" max="8958" width="7.85546875" style="39" customWidth="1"/>
    <col min="8959" max="8959" width="14.28515625" style="39" customWidth="1"/>
    <col min="8960" max="8960" width="7.85546875" style="39" customWidth="1"/>
    <col min="8961" max="9205" width="11.42578125" style="39"/>
    <col min="9206" max="9206" width="16" style="39" customWidth="1"/>
    <col min="9207" max="9213" width="17.5703125" style="39" customWidth="1"/>
    <col min="9214" max="9214" width="7.85546875" style="39" customWidth="1"/>
    <col min="9215" max="9215" width="14.28515625" style="39" customWidth="1"/>
    <col min="9216" max="9216" width="7.85546875" style="39" customWidth="1"/>
    <col min="9217" max="9461" width="11.42578125" style="39"/>
    <col min="9462" max="9462" width="16" style="39" customWidth="1"/>
    <col min="9463" max="9469" width="17.5703125" style="39" customWidth="1"/>
    <col min="9470" max="9470" width="7.85546875" style="39" customWidth="1"/>
    <col min="9471" max="9471" width="14.28515625" style="39" customWidth="1"/>
    <col min="9472" max="9472" width="7.85546875" style="39" customWidth="1"/>
    <col min="9473" max="9717" width="11.42578125" style="39"/>
    <col min="9718" max="9718" width="16" style="39" customWidth="1"/>
    <col min="9719" max="9725" width="17.5703125" style="39" customWidth="1"/>
    <col min="9726" max="9726" width="7.85546875" style="39" customWidth="1"/>
    <col min="9727" max="9727" width="14.28515625" style="39" customWidth="1"/>
    <col min="9728" max="9728" width="7.85546875" style="39" customWidth="1"/>
    <col min="9729" max="9973" width="11.42578125" style="39"/>
    <col min="9974" max="9974" width="16" style="39" customWidth="1"/>
    <col min="9975" max="9981" width="17.5703125" style="39" customWidth="1"/>
    <col min="9982" max="9982" width="7.85546875" style="39" customWidth="1"/>
    <col min="9983" max="9983" width="14.28515625" style="39" customWidth="1"/>
    <col min="9984" max="9984" width="7.85546875" style="39" customWidth="1"/>
    <col min="9985" max="10229" width="11.42578125" style="39"/>
    <col min="10230" max="10230" width="16" style="39" customWidth="1"/>
    <col min="10231" max="10237" width="17.5703125" style="39" customWidth="1"/>
    <col min="10238" max="10238" width="7.85546875" style="39" customWidth="1"/>
    <col min="10239" max="10239" width="14.28515625" style="39" customWidth="1"/>
    <col min="10240" max="10240" width="7.85546875" style="39" customWidth="1"/>
    <col min="10241" max="10485" width="11.42578125" style="39"/>
    <col min="10486" max="10486" width="16" style="39" customWidth="1"/>
    <col min="10487" max="10493" width="17.5703125" style="39" customWidth="1"/>
    <col min="10494" max="10494" width="7.85546875" style="39" customWidth="1"/>
    <col min="10495" max="10495" width="14.28515625" style="39" customWidth="1"/>
    <col min="10496" max="10496" width="7.85546875" style="39" customWidth="1"/>
    <col min="10497" max="10741" width="11.42578125" style="39"/>
    <col min="10742" max="10742" width="16" style="39" customWidth="1"/>
    <col min="10743" max="10749" width="17.5703125" style="39" customWidth="1"/>
    <col min="10750" max="10750" width="7.85546875" style="39" customWidth="1"/>
    <col min="10751" max="10751" width="14.28515625" style="39" customWidth="1"/>
    <col min="10752" max="10752" width="7.85546875" style="39" customWidth="1"/>
    <col min="10753" max="10997" width="11.42578125" style="39"/>
    <col min="10998" max="10998" width="16" style="39" customWidth="1"/>
    <col min="10999" max="11005" width="17.5703125" style="39" customWidth="1"/>
    <col min="11006" max="11006" width="7.85546875" style="39" customWidth="1"/>
    <col min="11007" max="11007" width="14.28515625" style="39" customWidth="1"/>
    <col min="11008" max="11008" width="7.85546875" style="39" customWidth="1"/>
    <col min="11009" max="11253" width="11.42578125" style="39"/>
    <col min="11254" max="11254" width="16" style="39" customWidth="1"/>
    <col min="11255" max="11261" width="17.5703125" style="39" customWidth="1"/>
    <col min="11262" max="11262" width="7.85546875" style="39" customWidth="1"/>
    <col min="11263" max="11263" width="14.28515625" style="39" customWidth="1"/>
    <col min="11264" max="11264" width="7.85546875" style="39" customWidth="1"/>
    <col min="11265" max="11509" width="11.42578125" style="39"/>
    <col min="11510" max="11510" width="16" style="39" customWidth="1"/>
    <col min="11511" max="11517" width="17.5703125" style="39" customWidth="1"/>
    <col min="11518" max="11518" width="7.85546875" style="39" customWidth="1"/>
    <col min="11519" max="11519" width="14.28515625" style="39" customWidth="1"/>
    <col min="11520" max="11520" width="7.85546875" style="39" customWidth="1"/>
    <col min="11521" max="11765" width="11.42578125" style="39"/>
    <col min="11766" max="11766" width="16" style="39" customWidth="1"/>
    <col min="11767" max="11773" width="17.5703125" style="39" customWidth="1"/>
    <col min="11774" max="11774" width="7.85546875" style="39" customWidth="1"/>
    <col min="11775" max="11775" width="14.28515625" style="39" customWidth="1"/>
    <col min="11776" max="11776" width="7.85546875" style="39" customWidth="1"/>
    <col min="11777" max="12021" width="11.42578125" style="39"/>
    <col min="12022" max="12022" width="16" style="39" customWidth="1"/>
    <col min="12023" max="12029" width="17.5703125" style="39" customWidth="1"/>
    <col min="12030" max="12030" width="7.85546875" style="39" customWidth="1"/>
    <col min="12031" max="12031" width="14.28515625" style="39" customWidth="1"/>
    <col min="12032" max="12032" width="7.85546875" style="39" customWidth="1"/>
    <col min="12033" max="12277" width="11.42578125" style="39"/>
    <col min="12278" max="12278" width="16" style="39" customWidth="1"/>
    <col min="12279" max="12285" width="17.5703125" style="39" customWidth="1"/>
    <col min="12286" max="12286" width="7.85546875" style="39" customWidth="1"/>
    <col min="12287" max="12287" width="14.28515625" style="39" customWidth="1"/>
    <col min="12288" max="12288" width="7.85546875" style="39" customWidth="1"/>
    <col min="12289" max="12533" width="11.42578125" style="39"/>
    <col min="12534" max="12534" width="16" style="39" customWidth="1"/>
    <col min="12535" max="12541" width="17.5703125" style="39" customWidth="1"/>
    <col min="12542" max="12542" width="7.85546875" style="39" customWidth="1"/>
    <col min="12543" max="12543" width="14.28515625" style="39" customWidth="1"/>
    <col min="12544" max="12544" width="7.85546875" style="39" customWidth="1"/>
    <col min="12545" max="12789" width="11.42578125" style="39"/>
    <col min="12790" max="12790" width="16" style="39" customWidth="1"/>
    <col min="12791" max="12797" width="17.5703125" style="39" customWidth="1"/>
    <col min="12798" max="12798" width="7.85546875" style="39" customWidth="1"/>
    <col min="12799" max="12799" width="14.28515625" style="39" customWidth="1"/>
    <col min="12800" max="12800" width="7.85546875" style="39" customWidth="1"/>
    <col min="12801" max="13045" width="11.42578125" style="39"/>
    <col min="13046" max="13046" width="16" style="39" customWidth="1"/>
    <col min="13047" max="13053" width="17.5703125" style="39" customWidth="1"/>
    <col min="13054" max="13054" width="7.85546875" style="39" customWidth="1"/>
    <col min="13055" max="13055" width="14.28515625" style="39" customWidth="1"/>
    <col min="13056" max="13056" width="7.85546875" style="39" customWidth="1"/>
    <col min="13057" max="13301" width="11.42578125" style="39"/>
    <col min="13302" max="13302" width="16" style="39" customWidth="1"/>
    <col min="13303" max="13309" width="17.5703125" style="39" customWidth="1"/>
    <col min="13310" max="13310" width="7.85546875" style="39" customWidth="1"/>
    <col min="13311" max="13311" width="14.28515625" style="39" customWidth="1"/>
    <col min="13312" max="13312" width="7.85546875" style="39" customWidth="1"/>
    <col min="13313" max="13557" width="11.42578125" style="39"/>
    <col min="13558" max="13558" width="16" style="39" customWidth="1"/>
    <col min="13559" max="13565" width="17.5703125" style="39" customWidth="1"/>
    <col min="13566" max="13566" width="7.85546875" style="39" customWidth="1"/>
    <col min="13567" max="13567" width="14.28515625" style="39" customWidth="1"/>
    <col min="13568" max="13568" width="7.85546875" style="39" customWidth="1"/>
    <col min="13569" max="13813" width="11.42578125" style="39"/>
    <col min="13814" max="13814" width="16" style="39" customWidth="1"/>
    <col min="13815" max="13821" width="17.5703125" style="39" customWidth="1"/>
    <col min="13822" max="13822" width="7.85546875" style="39" customWidth="1"/>
    <col min="13823" max="13823" width="14.28515625" style="39" customWidth="1"/>
    <col min="13824" max="13824" width="7.85546875" style="39" customWidth="1"/>
    <col min="13825" max="14069" width="11.42578125" style="39"/>
    <col min="14070" max="14070" width="16" style="39" customWidth="1"/>
    <col min="14071" max="14077" width="17.5703125" style="39" customWidth="1"/>
    <col min="14078" max="14078" width="7.85546875" style="39" customWidth="1"/>
    <col min="14079" max="14079" width="14.28515625" style="39" customWidth="1"/>
    <col min="14080" max="14080" width="7.85546875" style="39" customWidth="1"/>
    <col min="14081" max="14325" width="11.42578125" style="39"/>
    <col min="14326" max="14326" width="16" style="39" customWidth="1"/>
    <col min="14327" max="14333" width="17.5703125" style="39" customWidth="1"/>
    <col min="14334" max="14334" width="7.85546875" style="39" customWidth="1"/>
    <col min="14335" max="14335" width="14.28515625" style="39" customWidth="1"/>
    <col min="14336" max="14336" width="7.85546875" style="39" customWidth="1"/>
    <col min="14337" max="14581" width="11.42578125" style="39"/>
    <col min="14582" max="14582" width="16" style="39" customWidth="1"/>
    <col min="14583" max="14589" width="17.5703125" style="39" customWidth="1"/>
    <col min="14590" max="14590" width="7.85546875" style="39" customWidth="1"/>
    <col min="14591" max="14591" width="14.28515625" style="39" customWidth="1"/>
    <col min="14592" max="14592" width="7.85546875" style="39" customWidth="1"/>
    <col min="14593" max="14837" width="11.42578125" style="39"/>
    <col min="14838" max="14838" width="16" style="39" customWidth="1"/>
    <col min="14839" max="14845" width="17.5703125" style="39" customWidth="1"/>
    <col min="14846" max="14846" width="7.85546875" style="39" customWidth="1"/>
    <col min="14847" max="14847" width="14.28515625" style="39" customWidth="1"/>
    <col min="14848" max="14848" width="7.85546875" style="39" customWidth="1"/>
    <col min="14849" max="15093" width="11.42578125" style="39"/>
    <col min="15094" max="15094" width="16" style="39" customWidth="1"/>
    <col min="15095" max="15101" width="17.5703125" style="39" customWidth="1"/>
    <col min="15102" max="15102" width="7.85546875" style="39" customWidth="1"/>
    <col min="15103" max="15103" width="14.28515625" style="39" customWidth="1"/>
    <col min="15104" max="15104" width="7.85546875" style="39" customWidth="1"/>
    <col min="15105" max="15349" width="11.42578125" style="39"/>
    <col min="15350" max="15350" width="16" style="39" customWidth="1"/>
    <col min="15351" max="15357" width="17.5703125" style="39" customWidth="1"/>
    <col min="15358" max="15358" width="7.85546875" style="39" customWidth="1"/>
    <col min="15359" max="15359" width="14.28515625" style="39" customWidth="1"/>
    <col min="15360" max="15360" width="7.85546875" style="39" customWidth="1"/>
    <col min="15361" max="15605" width="11.42578125" style="39"/>
    <col min="15606" max="15606" width="16" style="39" customWidth="1"/>
    <col min="15607" max="15613" width="17.5703125" style="39" customWidth="1"/>
    <col min="15614" max="15614" width="7.85546875" style="39" customWidth="1"/>
    <col min="15615" max="15615" width="14.28515625" style="39" customWidth="1"/>
    <col min="15616" max="15616" width="7.85546875" style="39" customWidth="1"/>
    <col min="15617" max="15861" width="11.42578125" style="39"/>
    <col min="15862" max="15862" width="16" style="39" customWidth="1"/>
    <col min="15863" max="15869" width="17.5703125" style="39" customWidth="1"/>
    <col min="15870" max="15870" width="7.85546875" style="39" customWidth="1"/>
    <col min="15871" max="15871" width="14.28515625" style="39" customWidth="1"/>
    <col min="15872" max="15872" width="7.85546875" style="39" customWidth="1"/>
    <col min="15873" max="16117" width="11.42578125" style="39"/>
    <col min="16118" max="16118" width="16" style="39" customWidth="1"/>
    <col min="16119" max="16125" width="17.5703125" style="39" customWidth="1"/>
    <col min="16126" max="16126" width="7.85546875" style="39" customWidth="1"/>
    <col min="16127" max="16127" width="14.28515625" style="39" customWidth="1"/>
    <col min="16128" max="16128" width="7.85546875" style="39" customWidth="1"/>
    <col min="16129" max="16384" width="11.42578125" style="39"/>
  </cols>
  <sheetData>
    <row r="1" spans="1:8" x14ac:dyDescent="0.2">
      <c r="A1" s="11" t="s">
        <v>58</v>
      </c>
      <c r="B1" s="11"/>
      <c r="C1" s="11"/>
      <c r="D1" s="13"/>
    </row>
    <row r="2" spans="1:8" x14ac:dyDescent="0.2">
      <c r="A2" s="11" t="s">
        <v>59</v>
      </c>
      <c r="B2" s="11"/>
      <c r="C2" s="11"/>
      <c r="D2" s="13"/>
    </row>
    <row r="3" spans="1:8" ht="9.75" customHeight="1" x14ac:dyDescent="0.2">
      <c r="A3" s="333"/>
      <c r="B3" s="333"/>
      <c r="C3" s="333"/>
      <c r="D3" s="333"/>
    </row>
    <row r="4" spans="1:8" ht="21.75" customHeight="1" x14ac:dyDescent="0.25">
      <c r="A4" s="333" t="s">
        <v>132</v>
      </c>
      <c r="B4" s="333"/>
      <c r="C4" s="333"/>
      <c r="D4" s="333"/>
      <c r="E4" s="334"/>
      <c r="F4" s="334"/>
      <c r="G4" s="334"/>
      <c r="H4" s="334"/>
    </row>
    <row r="5" spans="1:8" ht="21.75" customHeight="1" x14ac:dyDescent="0.25">
      <c r="A5" s="333" t="s">
        <v>137</v>
      </c>
      <c r="B5" s="334"/>
      <c r="C5" s="334"/>
      <c r="D5" s="334"/>
      <c r="E5" s="334"/>
      <c r="F5" s="334"/>
      <c r="G5" s="334"/>
      <c r="H5" s="334"/>
    </row>
    <row r="6" spans="1:8" ht="24" customHeight="1" thickBot="1" x14ac:dyDescent="0.25">
      <c r="A6" s="335" t="s">
        <v>60</v>
      </c>
      <c r="B6" s="335"/>
      <c r="C6" s="335"/>
      <c r="D6" s="335"/>
      <c r="E6" s="335"/>
      <c r="F6" s="335"/>
      <c r="G6" s="335"/>
      <c r="H6" s="335"/>
    </row>
    <row r="7" spans="1:8" s="6" customFormat="1" ht="24.75" customHeight="1" thickBot="1" x14ac:dyDescent="0.25">
      <c r="A7" s="15" t="s">
        <v>15</v>
      </c>
      <c r="B7" s="336" t="s">
        <v>19</v>
      </c>
      <c r="C7" s="337"/>
      <c r="D7" s="337"/>
      <c r="E7" s="337"/>
      <c r="F7" s="337"/>
      <c r="G7" s="337"/>
      <c r="H7" s="338"/>
    </row>
    <row r="8" spans="1:8" s="6" customFormat="1" ht="68.25" customHeight="1" thickBot="1" x14ac:dyDescent="0.25">
      <c r="A8" s="16" t="s">
        <v>16</v>
      </c>
      <c r="B8" s="21" t="s">
        <v>42</v>
      </c>
      <c r="C8" s="22" t="s">
        <v>43</v>
      </c>
      <c r="D8" s="22" t="s">
        <v>44</v>
      </c>
      <c r="E8" s="22" t="s">
        <v>45</v>
      </c>
      <c r="F8" s="22" t="s">
        <v>46</v>
      </c>
      <c r="G8" s="22" t="s">
        <v>17</v>
      </c>
      <c r="H8" s="23" t="s">
        <v>3</v>
      </c>
    </row>
    <row r="9" spans="1:8" s="6" customFormat="1" ht="12.75" customHeight="1" x14ac:dyDescent="0.2">
      <c r="A9" s="7">
        <v>636</v>
      </c>
      <c r="B9" s="47"/>
      <c r="C9" s="48"/>
      <c r="D9" s="49"/>
      <c r="E9" s="50"/>
      <c r="F9" s="50"/>
      <c r="G9" s="51"/>
      <c r="H9" s="52"/>
    </row>
    <row r="10" spans="1:8" s="6" customFormat="1" ht="12.75" customHeight="1" x14ac:dyDescent="0.2">
      <c r="A10" s="8">
        <v>63622</v>
      </c>
      <c r="B10" s="53"/>
      <c r="C10" s="54"/>
      <c r="D10" s="55"/>
      <c r="E10" s="56">
        <f>20000/7.5345</f>
        <v>2654.4561682925209</v>
      </c>
      <c r="F10" s="56"/>
      <c r="G10" s="57"/>
      <c r="H10" s="58"/>
    </row>
    <row r="11" spans="1:8" s="6" customFormat="1" ht="12.75" customHeight="1" x14ac:dyDescent="0.2">
      <c r="A11" s="8">
        <v>63623</v>
      </c>
      <c r="B11" s="53"/>
      <c r="C11" s="54"/>
      <c r="D11" s="55"/>
      <c r="E11" s="56">
        <f>5000/7.5345</f>
        <v>663.61404207313024</v>
      </c>
      <c r="F11" s="56"/>
      <c r="G11" s="57"/>
      <c r="H11" s="58"/>
    </row>
    <row r="12" spans="1:8" s="6" customFormat="1" x14ac:dyDescent="0.2">
      <c r="A12" s="9">
        <v>641</v>
      </c>
      <c r="B12" s="43"/>
      <c r="C12" s="44"/>
      <c r="D12" s="44"/>
      <c r="E12" s="44"/>
      <c r="F12" s="44"/>
      <c r="G12" s="45"/>
      <c r="H12" s="46"/>
    </row>
    <row r="13" spans="1:8" s="6" customFormat="1" x14ac:dyDescent="0.2">
      <c r="A13" s="10">
        <v>64132</v>
      </c>
      <c r="B13" s="43"/>
      <c r="C13" s="76">
        <v>0.97</v>
      </c>
      <c r="D13" s="44"/>
      <c r="E13" s="44"/>
      <c r="F13" s="44"/>
      <c r="G13" s="45"/>
      <c r="H13" s="46"/>
    </row>
    <row r="14" spans="1:8" s="6" customFormat="1" x14ac:dyDescent="0.2">
      <c r="A14" s="9">
        <v>652</v>
      </c>
      <c r="B14" s="43"/>
      <c r="C14" s="44"/>
      <c r="D14" s="44"/>
      <c r="E14" s="44"/>
      <c r="F14" s="44"/>
      <c r="G14" s="45"/>
      <c r="H14" s="46"/>
    </row>
    <row r="15" spans="1:8" s="6" customFormat="1" x14ac:dyDescent="0.2">
      <c r="A15" s="10">
        <v>65269</v>
      </c>
      <c r="B15" s="43"/>
      <c r="C15" s="44"/>
      <c r="D15" s="44">
        <v>2189.9299999999998</v>
      </c>
      <c r="E15" s="44"/>
      <c r="F15" s="44"/>
      <c r="G15" s="45"/>
      <c r="H15" s="46"/>
    </row>
    <row r="16" spans="1:8" s="6" customFormat="1" x14ac:dyDescent="0.2">
      <c r="A16" s="9">
        <v>661</v>
      </c>
      <c r="B16" s="43"/>
      <c r="C16" s="44"/>
      <c r="D16" s="44"/>
      <c r="E16" s="44"/>
      <c r="F16" s="44"/>
      <c r="G16" s="45"/>
      <c r="H16" s="46"/>
    </row>
    <row r="17" spans="1:9" s="6" customFormat="1" x14ac:dyDescent="0.2">
      <c r="A17" s="10">
        <v>66151</v>
      </c>
      <c r="B17" s="43"/>
      <c r="C17" s="44">
        <v>12263.59</v>
      </c>
      <c r="D17" s="44"/>
      <c r="E17" s="44"/>
      <c r="F17" s="44"/>
      <c r="G17" s="45"/>
      <c r="H17" s="46"/>
    </row>
    <row r="18" spans="1:9" s="6" customFormat="1" x14ac:dyDescent="0.2">
      <c r="A18" s="9">
        <v>663</v>
      </c>
      <c r="B18" s="43"/>
      <c r="C18" s="44"/>
      <c r="D18" s="44"/>
      <c r="E18" s="44"/>
      <c r="F18" s="44"/>
      <c r="G18" s="45"/>
      <c r="H18" s="46"/>
    </row>
    <row r="19" spans="1:9" s="6" customFormat="1" x14ac:dyDescent="0.2">
      <c r="A19" s="10">
        <v>66324</v>
      </c>
      <c r="B19" s="43"/>
      <c r="C19" s="44"/>
      <c r="D19" s="44"/>
      <c r="E19" s="44"/>
      <c r="F19" s="44">
        <f>2000/7.5345</f>
        <v>265.44561682925212</v>
      </c>
      <c r="G19" s="45"/>
      <c r="H19" s="46"/>
    </row>
    <row r="20" spans="1:9" s="6" customFormat="1" x14ac:dyDescent="0.2">
      <c r="A20" s="9">
        <v>671</v>
      </c>
      <c r="B20" s="43"/>
      <c r="C20" s="44"/>
      <c r="D20" s="44"/>
      <c r="E20" s="44"/>
      <c r="F20" s="44"/>
      <c r="G20" s="45"/>
      <c r="H20" s="46"/>
    </row>
    <row r="21" spans="1:9" s="6" customFormat="1" x14ac:dyDescent="0.2">
      <c r="A21" s="10">
        <v>67111</v>
      </c>
      <c r="B21" s="43">
        <v>66308.3</v>
      </c>
      <c r="C21" s="44"/>
      <c r="D21" s="44"/>
      <c r="E21" s="44"/>
      <c r="F21" s="44"/>
      <c r="G21" s="45"/>
      <c r="H21" s="46"/>
    </row>
    <row r="22" spans="1:9" s="6" customFormat="1" x14ac:dyDescent="0.2">
      <c r="A22" s="10">
        <v>67121</v>
      </c>
      <c r="B22" s="59">
        <v>4034.78</v>
      </c>
      <c r="C22" s="44"/>
      <c r="D22" s="44"/>
      <c r="E22" s="44"/>
      <c r="F22" s="44"/>
      <c r="G22" s="45"/>
      <c r="H22" s="46"/>
    </row>
    <row r="23" spans="1:9" s="6" customFormat="1" x14ac:dyDescent="0.2">
      <c r="A23" s="29">
        <v>922</v>
      </c>
      <c r="B23" s="60">
        <f>5000/7.5345</f>
        <v>663.61404207313024</v>
      </c>
      <c r="C23" s="61">
        <v>4645.3</v>
      </c>
      <c r="D23" s="61"/>
      <c r="E23" s="61"/>
      <c r="F23" s="61"/>
      <c r="G23" s="62"/>
      <c r="H23" s="63"/>
    </row>
    <row r="24" spans="1:9" s="6" customFormat="1" ht="13.5" thickBot="1" x14ac:dyDescent="0.25">
      <c r="A24" s="20"/>
      <c r="B24" s="64"/>
      <c r="C24" s="65"/>
      <c r="D24" s="65"/>
      <c r="E24" s="65"/>
      <c r="F24" s="65"/>
      <c r="G24" s="66"/>
      <c r="H24" s="67"/>
    </row>
    <row r="25" spans="1:9" s="6" customFormat="1" ht="30" customHeight="1" thickBot="1" x14ac:dyDescent="0.25">
      <c r="A25" s="80" t="s">
        <v>18</v>
      </c>
      <c r="B25" s="81">
        <f t="shared" ref="B25:H25" si="0">SUM(B9:B24)</f>
        <v>71006.694042073126</v>
      </c>
      <c r="C25" s="81">
        <f t="shared" si="0"/>
        <v>16909.86</v>
      </c>
      <c r="D25" s="81">
        <f t="shared" si="0"/>
        <v>2189.9299999999998</v>
      </c>
      <c r="E25" s="81">
        <f t="shared" si="0"/>
        <v>3318.0702103656513</v>
      </c>
      <c r="F25" s="81">
        <f t="shared" si="0"/>
        <v>265.44561682925212</v>
      </c>
      <c r="G25" s="81">
        <f t="shared" si="0"/>
        <v>0</v>
      </c>
      <c r="H25" s="83">
        <f t="shared" si="0"/>
        <v>0</v>
      </c>
    </row>
    <row r="26" spans="1:9" s="6" customFormat="1" ht="58.5" customHeight="1" thickBot="1" x14ac:dyDescent="0.25">
      <c r="A26" s="80" t="s">
        <v>20</v>
      </c>
      <c r="B26" s="327">
        <f>SUM(B25,C25,D25,E25,F25)</f>
        <v>93689.999869268024</v>
      </c>
      <c r="C26" s="328"/>
      <c r="D26" s="328"/>
      <c r="E26" s="328"/>
      <c r="F26" s="328"/>
      <c r="G26" s="328"/>
      <c r="H26" s="329"/>
    </row>
    <row r="27" spans="1:9" s="6" customFormat="1" ht="28.5" customHeight="1" thickBot="1" x14ac:dyDescent="0.25">
      <c r="A27" s="77"/>
      <c r="B27" s="78"/>
      <c r="C27" s="78"/>
      <c r="D27" s="78"/>
      <c r="E27" s="78"/>
      <c r="F27" s="78"/>
      <c r="G27" s="78"/>
      <c r="H27" s="78"/>
      <c r="I27" s="79"/>
    </row>
    <row r="28" spans="1:9" s="6" customFormat="1" ht="24.75" customHeight="1" thickBot="1" x14ac:dyDescent="0.25">
      <c r="A28" s="15" t="s">
        <v>15</v>
      </c>
      <c r="B28" s="324" t="s">
        <v>40</v>
      </c>
      <c r="C28" s="325"/>
      <c r="D28" s="325"/>
      <c r="E28" s="325"/>
      <c r="F28" s="325"/>
      <c r="G28" s="325"/>
      <c r="H28" s="326"/>
    </row>
    <row r="29" spans="1:9" s="6" customFormat="1" ht="68.25" customHeight="1" thickBot="1" x14ac:dyDescent="0.25">
      <c r="A29" s="16" t="s">
        <v>16</v>
      </c>
      <c r="B29" s="21" t="s">
        <v>42</v>
      </c>
      <c r="C29" s="22" t="s">
        <v>43</v>
      </c>
      <c r="D29" s="22" t="s">
        <v>44</v>
      </c>
      <c r="E29" s="22" t="s">
        <v>45</v>
      </c>
      <c r="F29" s="22" t="s">
        <v>46</v>
      </c>
      <c r="G29" s="22" t="s">
        <v>17</v>
      </c>
      <c r="H29" s="23" t="s">
        <v>3</v>
      </c>
    </row>
    <row r="30" spans="1:9" s="6" customFormat="1" ht="12.75" customHeight="1" x14ac:dyDescent="0.2">
      <c r="A30" s="7">
        <v>636</v>
      </c>
      <c r="B30" s="47"/>
      <c r="C30" s="48"/>
      <c r="D30" s="49"/>
      <c r="E30" s="50"/>
      <c r="F30" s="50"/>
      <c r="G30" s="51"/>
      <c r="H30" s="52"/>
    </row>
    <row r="31" spans="1:9" s="6" customFormat="1" ht="12.75" customHeight="1" x14ac:dyDescent="0.2">
      <c r="A31" s="8">
        <v>63622</v>
      </c>
      <c r="B31" s="53"/>
      <c r="C31" s="54"/>
      <c r="D31" s="55"/>
      <c r="E31" s="56">
        <v>2654.46</v>
      </c>
      <c r="F31" s="56"/>
      <c r="G31" s="57"/>
      <c r="H31" s="58"/>
    </row>
    <row r="32" spans="1:9" s="6" customFormat="1" ht="12.75" customHeight="1" x14ac:dyDescent="0.2">
      <c r="A32" s="8">
        <v>63623</v>
      </c>
      <c r="B32" s="53"/>
      <c r="C32" s="54"/>
      <c r="D32" s="55"/>
      <c r="E32" s="56">
        <v>663.61</v>
      </c>
      <c r="F32" s="56"/>
      <c r="G32" s="57"/>
      <c r="H32" s="58"/>
    </row>
    <row r="33" spans="1:8" s="6" customFormat="1" x14ac:dyDescent="0.2">
      <c r="A33" s="9">
        <v>641</v>
      </c>
      <c r="B33" s="43"/>
      <c r="C33" s="44"/>
      <c r="D33" s="44"/>
      <c r="E33" s="44"/>
      <c r="F33" s="44"/>
      <c r="G33" s="45"/>
      <c r="H33" s="46"/>
    </row>
    <row r="34" spans="1:8" s="6" customFormat="1" x14ac:dyDescent="0.2">
      <c r="A34" s="10">
        <v>64132</v>
      </c>
      <c r="B34" s="43"/>
      <c r="C34" s="76">
        <v>0.11</v>
      </c>
      <c r="D34" s="44"/>
      <c r="E34" s="44"/>
      <c r="F34" s="44"/>
      <c r="G34" s="45"/>
      <c r="H34" s="46"/>
    </row>
    <row r="35" spans="1:8" s="6" customFormat="1" x14ac:dyDescent="0.2">
      <c r="A35" s="9">
        <v>652</v>
      </c>
      <c r="B35" s="43"/>
      <c r="C35" s="44"/>
      <c r="D35" s="44"/>
      <c r="E35" s="44"/>
      <c r="F35" s="44"/>
      <c r="G35" s="45"/>
      <c r="H35" s="46"/>
    </row>
    <row r="36" spans="1:8" s="6" customFormat="1" x14ac:dyDescent="0.2">
      <c r="A36" s="10">
        <v>65269</v>
      </c>
      <c r="B36" s="43"/>
      <c r="C36" s="44"/>
      <c r="D36" s="44">
        <v>2250.3200000000002</v>
      </c>
      <c r="E36" s="44"/>
      <c r="F36" s="44"/>
      <c r="G36" s="45"/>
      <c r="H36" s="46"/>
    </row>
    <row r="37" spans="1:8" s="6" customFormat="1" x14ac:dyDescent="0.2">
      <c r="A37" s="9">
        <v>661</v>
      </c>
      <c r="B37" s="43"/>
      <c r="C37" s="44"/>
      <c r="D37" s="44"/>
      <c r="E37" s="44"/>
      <c r="F37" s="44"/>
      <c r="G37" s="45"/>
      <c r="H37" s="46"/>
    </row>
    <row r="38" spans="1:8" s="6" customFormat="1" x14ac:dyDescent="0.2">
      <c r="A38" s="10">
        <v>66151</v>
      </c>
      <c r="B38" s="43"/>
      <c r="C38" s="44">
        <v>17227.419999999998</v>
      </c>
      <c r="D38" s="44"/>
      <c r="E38" s="44"/>
      <c r="F38" s="44"/>
      <c r="G38" s="45"/>
      <c r="H38" s="46"/>
    </row>
    <row r="39" spans="1:8" s="6" customFormat="1" x14ac:dyDescent="0.2">
      <c r="A39" s="9">
        <v>663</v>
      </c>
      <c r="B39" s="43"/>
      <c r="C39" s="44"/>
      <c r="D39" s="44"/>
      <c r="E39" s="44"/>
      <c r="F39" s="44"/>
      <c r="G39" s="45"/>
      <c r="H39" s="46"/>
    </row>
    <row r="40" spans="1:8" s="6" customFormat="1" x14ac:dyDescent="0.2">
      <c r="A40" s="10">
        <v>66324</v>
      </c>
      <c r="B40" s="43"/>
      <c r="C40" s="44"/>
      <c r="D40" s="44"/>
      <c r="E40" s="44"/>
      <c r="F40" s="44">
        <v>265.45</v>
      </c>
      <c r="G40" s="45"/>
      <c r="H40" s="46"/>
    </row>
    <row r="41" spans="1:8" s="6" customFormat="1" x14ac:dyDescent="0.2">
      <c r="A41" s="9">
        <v>671</v>
      </c>
      <c r="B41" s="43"/>
      <c r="C41" s="44"/>
      <c r="D41" s="44"/>
      <c r="E41" s="44"/>
      <c r="F41" s="44"/>
      <c r="G41" s="45"/>
      <c r="H41" s="46"/>
    </row>
    <row r="42" spans="1:8" s="6" customFormat="1" x14ac:dyDescent="0.2">
      <c r="A42" s="10">
        <v>67111</v>
      </c>
      <c r="B42" s="43">
        <v>66361.399999999994</v>
      </c>
      <c r="C42" s="44"/>
      <c r="D42" s="44"/>
      <c r="E42" s="44"/>
      <c r="F42" s="44"/>
      <c r="G42" s="45"/>
      <c r="H42" s="46"/>
    </row>
    <row r="43" spans="1:8" s="6" customFormat="1" x14ac:dyDescent="0.2">
      <c r="A43" s="10">
        <v>67121</v>
      </c>
      <c r="B43" s="82">
        <v>1327.23</v>
      </c>
      <c r="C43" s="44"/>
      <c r="D43" s="44"/>
      <c r="E43" s="44"/>
      <c r="F43" s="44"/>
      <c r="G43" s="45"/>
      <c r="H43" s="46"/>
    </row>
    <row r="44" spans="1:8" s="6" customFormat="1" x14ac:dyDescent="0.2">
      <c r="A44" s="29">
        <v>922</v>
      </c>
      <c r="B44" s="60"/>
      <c r="C44" s="61"/>
      <c r="D44" s="61"/>
      <c r="E44" s="61"/>
      <c r="F44" s="61"/>
      <c r="G44" s="62"/>
      <c r="H44" s="63"/>
    </row>
    <row r="45" spans="1:8" s="6" customFormat="1" ht="13.5" thickBot="1" x14ac:dyDescent="0.25">
      <c r="A45" s="20"/>
      <c r="B45" s="64"/>
      <c r="C45" s="65"/>
      <c r="D45" s="65"/>
      <c r="E45" s="65"/>
      <c r="F45" s="65"/>
      <c r="G45" s="66"/>
      <c r="H45" s="67"/>
    </row>
    <row r="46" spans="1:8" s="6" customFormat="1" ht="30" customHeight="1" thickBot="1" x14ac:dyDescent="0.25">
      <c r="A46" s="80" t="s">
        <v>18</v>
      </c>
      <c r="B46" s="81">
        <f t="shared" ref="B46:H46" si="1">SUM(B30:B45)</f>
        <v>67688.62999999999</v>
      </c>
      <c r="C46" s="81">
        <f t="shared" si="1"/>
        <v>17227.53</v>
      </c>
      <c r="D46" s="81">
        <f t="shared" si="1"/>
        <v>2250.3200000000002</v>
      </c>
      <c r="E46" s="81">
        <f t="shared" si="1"/>
        <v>3318.07</v>
      </c>
      <c r="F46" s="81">
        <f t="shared" si="1"/>
        <v>265.45</v>
      </c>
      <c r="G46" s="81">
        <f t="shared" si="1"/>
        <v>0</v>
      </c>
      <c r="H46" s="83">
        <f t="shared" si="1"/>
        <v>0</v>
      </c>
    </row>
    <row r="47" spans="1:8" s="6" customFormat="1" ht="56.25" customHeight="1" thickBot="1" x14ac:dyDescent="0.25">
      <c r="A47" s="80" t="s">
        <v>41</v>
      </c>
      <c r="B47" s="327">
        <f>SUM(B46,C46,D46,E46,F46)</f>
        <v>90750</v>
      </c>
      <c r="C47" s="328"/>
      <c r="D47" s="328"/>
      <c r="E47" s="328"/>
      <c r="F47" s="328"/>
      <c r="G47" s="328"/>
      <c r="H47" s="329"/>
    </row>
    <row r="48" spans="1:8" s="6" customFormat="1" ht="56.25" customHeight="1" x14ac:dyDescent="0.2">
      <c r="A48" s="85"/>
      <c r="B48" s="86"/>
      <c r="C48" s="86"/>
      <c r="D48" s="86"/>
      <c r="E48" s="86"/>
      <c r="F48" s="86"/>
      <c r="G48" s="86"/>
      <c r="H48" s="86"/>
    </row>
    <row r="49" spans="1:16" s="6" customFormat="1" ht="28.5" customHeight="1" thickBot="1" x14ac:dyDescent="0.25">
      <c r="A49" s="77"/>
      <c r="B49" s="78"/>
      <c r="C49" s="78"/>
      <c r="D49" s="78"/>
      <c r="E49" s="78"/>
      <c r="F49" s="78"/>
      <c r="G49" s="78"/>
      <c r="H49" s="78"/>
      <c r="I49" s="79"/>
    </row>
    <row r="50" spans="1:16" ht="39" customHeight="1" thickBot="1" x14ac:dyDescent="0.25">
      <c r="A50" s="15" t="s">
        <v>15</v>
      </c>
      <c r="B50" s="330" t="s">
        <v>70</v>
      </c>
      <c r="C50" s="331"/>
      <c r="D50" s="331"/>
      <c r="E50" s="331"/>
      <c r="F50" s="331"/>
      <c r="G50" s="331"/>
      <c r="H50" s="332"/>
    </row>
    <row r="51" spans="1:16" ht="65.25" customHeight="1" thickBot="1" x14ac:dyDescent="0.25">
      <c r="A51" s="16" t="s">
        <v>16</v>
      </c>
      <c r="B51" s="21" t="s">
        <v>42</v>
      </c>
      <c r="C51" s="22" t="s">
        <v>43</v>
      </c>
      <c r="D51" s="22" t="s">
        <v>44</v>
      </c>
      <c r="E51" s="22" t="s">
        <v>45</v>
      </c>
      <c r="F51" s="22" t="s">
        <v>46</v>
      </c>
      <c r="G51" s="22" t="s">
        <v>17</v>
      </c>
      <c r="H51" s="23" t="s">
        <v>3</v>
      </c>
      <c r="K51" s="25"/>
      <c r="L51" s="25"/>
      <c r="M51" s="25"/>
      <c r="N51" s="25"/>
      <c r="O51" s="25"/>
      <c r="P51" s="25"/>
    </row>
    <row r="52" spans="1:16" x14ac:dyDescent="0.2">
      <c r="A52" s="7">
        <v>636</v>
      </c>
      <c r="B52" s="47"/>
      <c r="C52" s="48"/>
      <c r="D52" s="49"/>
      <c r="E52" s="50"/>
      <c r="F52" s="50"/>
      <c r="G52" s="51"/>
      <c r="H52" s="52"/>
      <c r="K52" s="25"/>
      <c r="L52" s="25"/>
      <c r="M52" s="25"/>
      <c r="N52" s="25"/>
      <c r="O52" s="25"/>
      <c r="P52" s="25"/>
    </row>
    <row r="53" spans="1:16" x14ac:dyDescent="0.2">
      <c r="A53" s="8">
        <v>63622</v>
      </c>
      <c r="B53" s="53"/>
      <c r="C53" s="54"/>
      <c r="D53" s="55"/>
      <c r="E53" s="56">
        <v>2654.46</v>
      </c>
      <c r="F53" s="56"/>
      <c r="G53" s="57"/>
      <c r="H53" s="58"/>
      <c r="K53" s="25"/>
      <c r="L53" s="25"/>
      <c r="M53" s="25"/>
      <c r="N53" s="25"/>
      <c r="O53" s="25"/>
      <c r="P53" s="25"/>
    </row>
    <row r="54" spans="1:16" x14ac:dyDescent="0.2">
      <c r="A54" s="8">
        <v>63623</v>
      </c>
      <c r="B54" s="53"/>
      <c r="C54" s="54"/>
      <c r="D54" s="55"/>
      <c r="E54" s="56">
        <v>663.61</v>
      </c>
      <c r="F54" s="56"/>
      <c r="G54" s="57"/>
      <c r="H54" s="58"/>
      <c r="K54" s="25"/>
      <c r="L54" s="25"/>
      <c r="M54" s="25"/>
      <c r="N54" s="25"/>
      <c r="O54" s="25"/>
      <c r="P54" s="25"/>
    </row>
    <row r="55" spans="1:16" x14ac:dyDescent="0.2">
      <c r="A55" s="9">
        <v>641</v>
      </c>
      <c r="B55" s="43"/>
      <c r="C55" s="44"/>
      <c r="D55" s="44"/>
      <c r="E55" s="44"/>
      <c r="F55" s="44"/>
      <c r="G55" s="45"/>
      <c r="H55" s="46"/>
      <c r="K55" s="25"/>
      <c r="L55" s="25"/>
      <c r="M55" s="25"/>
      <c r="N55" s="25"/>
      <c r="O55" s="25"/>
      <c r="P55" s="25"/>
    </row>
    <row r="56" spans="1:16" x14ac:dyDescent="0.2">
      <c r="A56" s="10">
        <v>64132</v>
      </c>
      <c r="B56" s="43"/>
      <c r="C56" s="76">
        <v>0.1</v>
      </c>
      <c r="D56" s="44"/>
      <c r="E56" s="44"/>
      <c r="F56" s="44"/>
      <c r="G56" s="45"/>
      <c r="H56" s="46"/>
      <c r="K56" s="25"/>
      <c r="L56" s="25"/>
      <c r="M56" s="25"/>
      <c r="N56" s="25"/>
      <c r="O56" s="25"/>
      <c r="P56" s="25"/>
    </row>
    <row r="57" spans="1:16" x14ac:dyDescent="0.2">
      <c r="A57" s="9">
        <v>652</v>
      </c>
      <c r="B57" s="43"/>
      <c r="C57" s="44"/>
      <c r="D57" s="44"/>
      <c r="E57" s="44"/>
      <c r="F57" s="44"/>
      <c r="G57" s="45"/>
      <c r="H57" s="46"/>
      <c r="K57" s="25"/>
      <c r="L57" s="25"/>
      <c r="M57" s="25"/>
      <c r="N57" s="25"/>
      <c r="O57" s="25"/>
      <c r="P57" s="25"/>
    </row>
    <row r="58" spans="1:16" x14ac:dyDescent="0.2">
      <c r="A58" s="10">
        <v>65269</v>
      </c>
      <c r="B58" s="43"/>
      <c r="C58" s="44"/>
      <c r="D58" s="44">
        <v>2257.61</v>
      </c>
      <c r="E58" s="44"/>
      <c r="F58" s="44"/>
      <c r="G58" s="45"/>
      <c r="H58" s="46"/>
      <c r="K58" s="25"/>
      <c r="L58" s="25"/>
      <c r="M58" s="25"/>
      <c r="N58" s="25"/>
      <c r="O58" s="25"/>
      <c r="P58" s="25"/>
    </row>
    <row r="59" spans="1:16" x14ac:dyDescent="0.2">
      <c r="A59" s="9">
        <v>661</v>
      </c>
      <c r="B59" s="43"/>
      <c r="C59" s="44"/>
      <c r="D59" s="44"/>
      <c r="E59" s="44"/>
      <c r="F59" s="44"/>
      <c r="G59" s="45"/>
      <c r="H59" s="46"/>
      <c r="K59" s="25"/>
      <c r="L59" s="25"/>
      <c r="M59" s="25"/>
      <c r="N59" s="25"/>
      <c r="O59" s="25"/>
      <c r="P59" s="25"/>
    </row>
    <row r="60" spans="1:16" x14ac:dyDescent="0.2">
      <c r="A60" s="10">
        <v>66151</v>
      </c>
      <c r="B60" s="43"/>
      <c r="C60" s="44">
        <v>17360.14</v>
      </c>
      <c r="D60" s="44"/>
      <c r="E60" s="44"/>
      <c r="F60" s="44"/>
      <c r="G60" s="45"/>
      <c r="H60" s="46"/>
      <c r="K60" s="25"/>
      <c r="L60" s="25"/>
      <c r="M60" s="25"/>
      <c r="N60" s="25"/>
      <c r="O60" s="25"/>
      <c r="P60" s="25"/>
    </row>
    <row r="61" spans="1:16" s="6" customFormat="1" ht="15" customHeight="1" x14ac:dyDescent="0.2">
      <c r="A61" s="9">
        <v>663</v>
      </c>
      <c r="B61" s="43"/>
      <c r="C61" s="44"/>
      <c r="D61" s="44"/>
      <c r="E61" s="44"/>
      <c r="F61" s="44"/>
      <c r="G61" s="45"/>
      <c r="H61" s="46"/>
      <c r="K61" s="84"/>
      <c r="L61" s="84"/>
      <c r="M61" s="84"/>
      <c r="N61" s="84"/>
      <c r="O61" s="84"/>
      <c r="P61" s="84"/>
    </row>
    <row r="62" spans="1:16" s="6" customFormat="1" ht="15.75" customHeight="1" x14ac:dyDescent="0.2">
      <c r="A62" s="10">
        <v>66324</v>
      </c>
      <c r="B62" s="43"/>
      <c r="C62" s="44"/>
      <c r="D62" s="44"/>
      <c r="E62" s="44"/>
      <c r="F62" s="44">
        <v>265.45</v>
      </c>
      <c r="G62" s="45"/>
      <c r="H62" s="46"/>
      <c r="K62" s="84"/>
      <c r="L62" s="84"/>
      <c r="M62" s="84"/>
      <c r="N62" s="84"/>
      <c r="O62" s="84"/>
      <c r="P62" s="84"/>
    </row>
    <row r="63" spans="1:16" x14ac:dyDescent="0.2">
      <c r="A63" s="9">
        <v>671</v>
      </c>
      <c r="B63" s="43"/>
      <c r="C63" s="44"/>
      <c r="D63" s="44"/>
      <c r="E63" s="44"/>
      <c r="F63" s="44"/>
      <c r="G63" s="45"/>
      <c r="H63" s="46"/>
      <c r="K63" s="25"/>
      <c r="L63" s="25"/>
      <c r="M63" s="25"/>
      <c r="N63" s="25"/>
      <c r="O63" s="25"/>
      <c r="P63" s="25"/>
    </row>
    <row r="64" spans="1:16" ht="16.5" customHeight="1" x14ac:dyDescent="0.2">
      <c r="A64" s="10">
        <v>67111</v>
      </c>
      <c r="B64" s="43">
        <v>66361.399999999994</v>
      </c>
      <c r="C64" s="44"/>
      <c r="D64" s="44"/>
      <c r="E64" s="44"/>
      <c r="F64" s="44"/>
      <c r="G64" s="45"/>
      <c r="H64" s="46"/>
      <c r="K64" s="25"/>
      <c r="L64" s="25"/>
      <c r="M64" s="25"/>
      <c r="N64" s="25"/>
      <c r="O64" s="25"/>
      <c r="P64" s="25"/>
    </row>
    <row r="65" spans="1:16" x14ac:dyDescent="0.2">
      <c r="A65" s="10">
        <v>67121</v>
      </c>
      <c r="B65" s="82">
        <v>1327.23</v>
      </c>
      <c r="C65" s="44"/>
      <c r="D65" s="44"/>
      <c r="E65" s="44"/>
      <c r="F65" s="44"/>
      <c r="G65" s="45"/>
      <c r="H65" s="46"/>
      <c r="K65" s="25"/>
      <c r="L65" s="25"/>
      <c r="M65" s="25"/>
      <c r="N65" s="25"/>
      <c r="O65" s="25"/>
      <c r="P65" s="25"/>
    </row>
    <row r="66" spans="1:16" x14ac:dyDescent="0.2">
      <c r="A66" s="29">
        <v>922</v>
      </c>
      <c r="B66" s="60"/>
      <c r="C66" s="61"/>
      <c r="D66" s="61"/>
      <c r="E66" s="61"/>
      <c r="F66" s="61"/>
      <c r="G66" s="62"/>
      <c r="H66" s="63"/>
      <c r="K66" s="25"/>
      <c r="L66" s="25"/>
      <c r="M66" s="25"/>
      <c r="N66" s="25"/>
      <c r="O66" s="25"/>
      <c r="P66" s="25"/>
    </row>
    <row r="67" spans="1:16" ht="13.5" thickBot="1" x14ac:dyDescent="0.25">
      <c r="A67" s="20"/>
      <c r="B67" s="64"/>
      <c r="C67" s="65"/>
      <c r="D67" s="65"/>
      <c r="E67" s="65"/>
      <c r="F67" s="65"/>
      <c r="G67" s="66"/>
      <c r="H67" s="67"/>
      <c r="K67" s="25"/>
      <c r="L67" s="25"/>
      <c r="M67" s="25"/>
      <c r="N67" s="25"/>
      <c r="O67" s="25"/>
      <c r="P67" s="25"/>
    </row>
    <row r="68" spans="1:16" ht="26.25" thickBot="1" x14ac:dyDescent="0.25">
      <c r="A68" s="80" t="s">
        <v>18</v>
      </c>
      <c r="B68" s="81">
        <f t="shared" ref="B68:H68" si="2">SUM(B52:B67)</f>
        <v>67688.62999999999</v>
      </c>
      <c r="C68" s="81">
        <f t="shared" si="2"/>
        <v>17360.239999999998</v>
      </c>
      <c r="D68" s="81">
        <f t="shared" si="2"/>
        <v>2257.61</v>
      </c>
      <c r="E68" s="81">
        <f t="shared" si="2"/>
        <v>3318.07</v>
      </c>
      <c r="F68" s="81">
        <f t="shared" si="2"/>
        <v>265.45</v>
      </c>
      <c r="G68" s="81">
        <f t="shared" si="2"/>
        <v>0</v>
      </c>
      <c r="H68" s="83">
        <f t="shared" si="2"/>
        <v>0</v>
      </c>
      <c r="K68" s="25"/>
      <c r="L68" s="25"/>
      <c r="M68" s="25"/>
      <c r="N68" s="25"/>
      <c r="O68" s="25"/>
      <c r="P68" s="25"/>
    </row>
    <row r="69" spans="1:16" ht="51.75" thickBot="1" x14ac:dyDescent="0.25">
      <c r="A69" s="80" t="s">
        <v>117</v>
      </c>
      <c r="B69" s="327">
        <f>SUM(B68,C68,D68,E68,F68)</f>
        <v>90890</v>
      </c>
      <c r="C69" s="328"/>
      <c r="D69" s="328"/>
      <c r="E69" s="328"/>
      <c r="F69" s="328"/>
      <c r="G69" s="328"/>
      <c r="H69" s="329"/>
    </row>
    <row r="70" spans="1:16" ht="15" customHeight="1" x14ac:dyDescent="0.2"/>
    <row r="71" spans="1:16" ht="11.25" customHeight="1" x14ac:dyDescent="0.2"/>
    <row r="73" spans="1:16" ht="13.5" customHeight="1" x14ac:dyDescent="0.2"/>
    <row r="74" spans="1:16" ht="12.75" customHeight="1" x14ac:dyDescent="0.2"/>
    <row r="75" spans="1:16" ht="12.75" customHeight="1" x14ac:dyDescent="0.2"/>
    <row r="81" ht="19.5" customHeight="1" x14ac:dyDescent="0.2"/>
    <row r="82" ht="15" customHeight="1" x14ac:dyDescent="0.2"/>
    <row r="89" ht="22.5" customHeight="1" x14ac:dyDescent="0.2"/>
    <row r="94" ht="13.5" customHeight="1" x14ac:dyDescent="0.2"/>
    <row r="95" ht="13.5" customHeight="1" x14ac:dyDescent="0.2"/>
    <row r="96" ht="13.5" customHeight="1" x14ac:dyDescent="0.2"/>
    <row r="108" spans="1:8" s="12" customFormat="1" ht="18" customHeight="1" x14ac:dyDescent="0.25">
      <c r="A108" s="39"/>
      <c r="B108" s="39"/>
      <c r="C108" s="39"/>
      <c r="D108" s="39"/>
      <c r="E108" s="39"/>
      <c r="F108" s="39"/>
      <c r="G108" s="39"/>
      <c r="H108" s="39"/>
    </row>
    <row r="109" spans="1:8" ht="28.5" customHeight="1" x14ac:dyDescent="0.2"/>
    <row r="113" spans="1:8" ht="17.25" customHeight="1" x14ac:dyDescent="0.2"/>
    <row r="114" spans="1:8" ht="13.5" customHeight="1" x14ac:dyDescent="0.2"/>
    <row r="120" spans="1:8" ht="22.5" customHeight="1" x14ac:dyDescent="0.2"/>
    <row r="121" spans="1:8" ht="22.5" customHeight="1" x14ac:dyDescent="0.2"/>
    <row r="128" spans="1:8" ht="18" x14ac:dyDescent="0.25">
      <c r="A128" s="12"/>
      <c r="B128" s="12"/>
      <c r="C128" s="12"/>
      <c r="D128" s="12"/>
      <c r="E128" s="12"/>
      <c r="F128" s="12"/>
      <c r="G128" s="12"/>
      <c r="H128" s="12"/>
    </row>
  </sheetData>
  <mergeCells count="10">
    <mergeCell ref="B28:H28"/>
    <mergeCell ref="B47:H47"/>
    <mergeCell ref="B50:H50"/>
    <mergeCell ref="B69:H69"/>
    <mergeCell ref="A3:D3"/>
    <mergeCell ref="A4:H4"/>
    <mergeCell ref="A5:H5"/>
    <mergeCell ref="A6:H6"/>
    <mergeCell ref="B7:H7"/>
    <mergeCell ref="B26:H26"/>
  </mergeCells>
  <pageMargins left="0.7" right="0.7" top="0.75" bottom="0.75" header="0.3" footer="0.3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"/>
  <sheetViews>
    <sheetView tabSelected="1" zoomScale="130" zoomScaleNormal="130" workbookViewId="0">
      <selection activeCell="E50" activeCellId="1" sqref="E31 E50"/>
    </sheetView>
  </sheetViews>
  <sheetFormatPr defaultColWidth="11.42578125" defaultRowHeight="12.75" x14ac:dyDescent="0.2"/>
  <cols>
    <col min="1" max="1" width="6.7109375" style="3" customWidth="1"/>
    <col min="2" max="2" width="15.85546875" style="4" customWidth="1"/>
    <col min="3" max="3" width="8" style="24" customWidth="1"/>
    <col min="4" max="4" width="8.140625" style="24" customWidth="1"/>
    <col min="5" max="5" width="8" style="26" customWidth="1"/>
    <col min="6" max="6" width="8.140625" style="5" customWidth="1"/>
    <col min="7" max="7" width="6.28515625" style="5" customWidth="1"/>
    <col min="8" max="8" width="4.85546875" style="5" customWidth="1"/>
    <col min="9" max="9" width="8.140625" style="5" customWidth="1"/>
    <col min="10" max="10" width="7.28515625" style="5" customWidth="1"/>
    <col min="11" max="11" width="5.5703125" style="5" customWidth="1"/>
    <col min="12" max="12" width="7.42578125" style="5" customWidth="1"/>
    <col min="13" max="13" width="5.140625" style="5" customWidth="1"/>
    <col min="14" max="14" width="5.5703125" style="5" customWidth="1"/>
    <col min="15" max="15" width="7.28515625" style="5" customWidth="1"/>
    <col min="16" max="16" width="6.28515625" style="5" customWidth="1"/>
    <col min="17" max="18" width="4.85546875" style="5" customWidth="1"/>
    <col min="19" max="19" width="8.140625" style="11" customWidth="1"/>
    <col min="20" max="20" width="8" style="11" customWidth="1"/>
    <col min="21" max="264" width="11.42578125" style="39"/>
    <col min="265" max="265" width="12.5703125" style="39" customWidth="1"/>
    <col min="266" max="266" width="34.28515625" style="39" customWidth="1"/>
    <col min="267" max="267" width="20.28515625" style="39" customWidth="1"/>
    <col min="268" max="274" width="13.7109375" style="39" customWidth="1"/>
    <col min="275" max="520" width="11.42578125" style="39"/>
    <col min="521" max="521" width="12.5703125" style="39" customWidth="1"/>
    <col min="522" max="522" width="34.28515625" style="39" customWidth="1"/>
    <col min="523" max="523" width="20.28515625" style="39" customWidth="1"/>
    <col min="524" max="530" width="13.7109375" style="39" customWidth="1"/>
    <col min="531" max="776" width="11.42578125" style="39"/>
    <col min="777" max="777" width="12.5703125" style="39" customWidth="1"/>
    <col min="778" max="778" width="34.28515625" style="39" customWidth="1"/>
    <col min="779" max="779" width="20.28515625" style="39" customWidth="1"/>
    <col min="780" max="786" width="13.7109375" style="39" customWidth="1"/>
    <col min="787" max="1032" width="11.42578125" style="39"/>
    <col min="1033" max="1033" width="12.5703125" style="39" customWidth="1"/>
    <col min="1034" max="1034" width="34.28515625" style="39" customWidth="1"/>
    <col min="1035" max="1035" width="20.28515625" style="39" customWidth="1"/>
    <col min="1036" max="1042" width="13.7109375" style="39" customWidth="1"/>
    <col min="1043" max="1288" width="11.42578125" style="39"/>
    <col min="1289" max="1289" width="12.5703125" style="39" customWidth="1"/>
    <col min="1290" max="1290" width="34.28515625" style="39" customWidth="1"/>
    <col min="1291" max="1291" width="20.28515625" style="39" customWidth="1"/>
    <col min="1292" max="1298" width="13.7109375" style="39" customWidth="1"/>
    <col min="1299" max="1544" width="11.42578125" style="39"/>
    <col min="1545" max="1545" width="12.5703125" style="39" customWidth="1"/>
    <col min="1546" max="1546" width="34.28515625" style="39" customWidth="1"/>
    <col min="1547" max="1547" width="20.28515625" style="39" customWidth="1"/>
    <col min="1548" max="1554" width="13.7109375" style="39" customWidth="1"/>
    <col min="1555" max="1800" width="11.42578125" style="39"/>
    <col min="1801" max="1801" width="12.5703125" style="39" customWidth="1"/>
    <col min="1802" max="1802" width="34.28515625" style="39" customWidth="1"/>
    <col min="1803" max="1803" width="20.28515625" style="39" customWidth="1"/>
    <col min="1804" max="1810" width="13.7109375" style="39" customWidth="1"/>
    <col min="1811" max="2056" width="11.42578125" style="39"/>
    <col min="2057" max="2057" width="12.5703125" style="39" customWidth="1"/>
    <col min="2058" max="2058" width="34.28515625" style="39" customWidth="1"/>
    <col min="2059" max="2059" width="20.28515625" style="39" customWidth="1"/>
    <col min="2060" max="2066" width="13.7109375" style="39" customWidth="1"/>
    <col min="2067" max="2312" width="11.42578125" style="39"/>
    <col min="2313" max="2313" width="12.5703125" style="39" customWidth="1"/>
    <col min="2314" max="2314" width="34.28515625" style="39" customWidth="1"/>
    <col min="2315" max="2315" width="20.28515625" style="39" customWidth="1"/>
    <col min="2316" max="2322" width="13.7109375" style="39" customWidth="1"/>
    <col min="2323" max="2568" width="11.42578125" style="39"/>
    <col min="2569" max="2569" width="12.5703125" style="39" customWidth="1"/>
    <col min="2570" max="2570" width="34.28515625" style="39" customWidth="1"/>
    <col min="2571" max="2571" width="20.28515625" style="39" customWidth="1"/>
    <col min="2572" max="2578" width="13.7109375" style="39" customWidth="1"/>
    <col min="2579" max="2824" width="11.42578125" style="39"/>
    <col min="2825" max="2825" width="12.5703125" style="39" customWidth="1"/>
    <col min="2826" max="2826" width="34.28515625" style="39" customWidth="1"/>
    <col min="2827" max="2827" width="20.28515625" style="39" customWidth="1"/>
    <col min="2828" max="2834" width="13.7109375" style="39" customWidth="1"/>
    <col min="2835" max="3080" width="11.42578125" style="39"/>
    <col min="3081" max="3081" width="12.5703125" style="39" customWidth="1"/>
    <col min="3082" max="3082" width="34.28515625" style="39" customWidth="1"/>
    <col min="3083" max="3083" width="20.28515625" style="39" customWidth="1"/>
    <col min="3084" max="3090" width="13.7109375" style="39" customWidth="1"/>
    <col min="3091" max="3336" width="11.42578125" style="39"/>
    <col min="3337" max="3337" width="12.5703125" style="39" customWidth="1"/>
    <col min="3338" max="3338" width="34.28515625" style="39" customWidth="1"/>
    <col min="3339" max="3339" width="20.28515625" style="39" customWidth="1"/>
    <col min="3340" max="3346" width="13.7109375" style="39" customWidth="1"/>
    <col min="3347" max="3592" width="11.42578125" style="39"/>
    <col min="3593" max="3593" width="12.5703125" style="39" customWidth="1"/>
    <col min="3594" max="3594" width="34.28515625" style="39" customWidth="1"/>
    <col min="3595" max="3595" width="20.28515625" style="39" customWidth="1"/>
    <col min="3596" max="3602" width="13.7109375" style="39" customWidth="1"/>
    <col min="3603" max="3848" width="11.42578125" style="39"/>
    <col min="3849" max="3849" width="12.5703125" style="39" customWidth="1"/>
    <col min="3850" max="3850" width="34.28515625" style="39" customWidth="1"/>
    <col min="3851" max="3851" width="20.28515625" style="39" customWidth="1"/>
    <col min="3852" max="3858" width="13.7109375" style="39" customWidth="1"/>
    <col min="3859" max="4104" width="11.42578125" style="39"/>
    <col min="4105" max="4105" width="12.5703125" style="39" customWidth="1"/>
    <col min="4106" max="4106" width="34.28515625" style="39" customWidth="1"/>
    <col min="4107" max="4107" width="20.28515625" style="39" customWidth="1"/>
    <col min="4108" max="4114" width="13.7109375" style="39" customWidth="1"/>
    <col min="4115" max="4360" width="11.42578125" style="39"/>
    <col min="4361" max="4361" width="12.5703125" style="39" customWidth="1"/>
    <col min="4362" max="4362" width="34.28515625" style="39" customWidth="1"/>
    <col min="4363" max="4363" width="20.28515625" style="39" customWidth="1"/>
    <col min="4364" max="4370" width="13.7109375" style="39" customWidth="1"/>
    <col min="4371" max="4616" width="11.42578125" style="39"/>
    <col min="4617" max="4617" width="12.5703125" style="39" customWidth="1"/>
    <col min="4618" max="4618" width="34.28515625" style="39" customWidth="1"/>
    <col min="4619" max="4619" width="20.28515625" style="39" customWidth="1"/>
    <col min="4620" max="4626" width="13.7109375" style="39" customWidth="1"/>
    <col min="4627" max="4872" width="11.42578125" style="39"/>
    <col min="4873" max="4873" width="12.5703125" style="39" customWidth="1"/>
    <col min="4874" max="4874" width="34.28515625" style="39" customWidth="1"/>
    <col min="4875" max="4875" width="20.28515625" style="39" customWidth="1"/>
    <col min="4876" max="4882" width="13.7109375" style="39" customWidth="1"/>
    <col min="4883" max="5128" width="11.42578125" style="39"/>
    <col min="5129" max="5129" width="12.5703125" style="39" customWidth="1"/>
    <col min="5130" max="5130" width="34.28515625" style="39" customWidth="1"/>
    <col min="5131" max="5131" width="20.28515625" style="39" customWidth="1"/>
    <col min="5132" max="5138" width="13.7109375" style="39" customWidth="1"/>
    <col min="5139" max="5384" width="11.42578125" style="39"/>
    <col min="5385" max="5385" width="12.5703125" style="39" customWidth="1"/>
    <col min="5386" max="5386" width="34.28515625" style="39" customWidth="1"/>
    <col min="5387" max="5387" width="20.28515625" style="39" customWidth="1"/>
    <col min="5388" max="5394" width="13.7109375" style="39" customWidth="1"/>
    <col min="5395" max="5640" width="11.42578125" style="39"/>
    <col min="5641" max="5641" width="12.5703125" style="39" customWidth="1"/>
    <col min="5642" max="5642" width="34.28515625" style="39" customWidth="1"/>
    <col min="5643" max="5643" width="20.28515625" style="39" customWidth="1"/>
    <col min="5644" max="5650" width="13.7109375" style="39" customWidth="1"/>
    <col min="5651" max="5896" width="11.42578125" style="39"/>
    <col min="5897" max="5897" width="12.5703125" style="39" customWidth="1"/>
    <col min="5898" max="5898" width="34.28515625" style="39" customWidth="1"/>
    <col min="5899" max="5899" width="20.28515625" style="39" customWidth="1"/>
    <col min="5900" max="5906" width="13.7109375" style="39" customWidth="1"/>
    <col min="5907" max="6152" width="11.42578125" style="39"/>
    <col min="6153" max="6153" width="12.5703125" style="39" customWidth="1"/>
    <col min="6154" max="6154" width="34.28515625" style="39" customWidth="1"/>
    <col min="6155" max="6155" width="20.28515625" style="39" customWidth="1"/>
    <col min="6156" max="6162" width="13.7109375" style="39" customWidth="1"/>
    <col min="6163" max="6408" width="11.42578125" style="39"/>
    <col min="6409" max="6409" width="12.5703125" style="39" customWidth="1"/>
    <col min="6410" max="6410" width="34.28515625" style="39" customWidth="1"/>
    <col min="6411" max="6411" width="20.28515625" style="39" customWidth="1"/>
    <col min="6412" max="6418" width="13.7109375" style="39" customWidth="1"/>
    <col min="6419" max="6664" width="11.42578125" style="39"/>
    <col min="6665" max="6665" width="12.5703125" style="39" customWidth="1"/>
    <col min="6666" max="6666" width="34.28515625" style="39" customWidth="1"/>
    <col min="6667" max="6667" width="20.28515625" style="39" customWidth="1"/>
    <col min="6668" max="6674" width="13.7109375" style="39" customWidth="1"/>
    <col min="6675" max="6920" width="11.42578125" style="39"/>
    <col min="6921" max="6921" width="12.5703125" style="39" customWidth="1"/>
    <col min="6922" max="6922" width="34.28515625" style="39" customWidth="1"/>
    <col min="6923" max="6923" width="20.28515625" style="39" customWidth="1"/>
    <col min="6924" max="6930" width="13.7109375" style="39" customWidth="1"/>
    <col min="6931" max="7176" width="11.42578125" style="39"/>
    <col min="7177" max="7177" width="12.5703125" style="39" customWidth="1"/>
    <col min="7178" max="7178" width="34.28515625" style="39" customWidth="1"/>
    <col min="7179" max="7179" width="20.28515625" style="39" customWidth="1"/>
    <col min="7180" max="7186" width="13.7109375" style="39" customWidth="1"/>
    <col min="7187" max="7432" width="11.42578125" style="39"/>
    <col min="7433" max="7433" width="12.5703125" style="39" customWidth="1"/>
    <col min="7434" max="7434" width="34.28515625" style="39" customWidth="1"/>
    <col min="7435" max="7435" width="20.28515625" style="39" customWidth="1"/>
    <col min="7436" max="7442" width="13.7109375" style="39" customWidth="1"/>
    <col min="7443" max="7688" width="11.42578125" style="39"/>
    <col min="7689" max="7689" width="12.5703125" style="39" customWidth="1"/>
    <col min="7690" max="7690" width="34.28515625" style="39" customWidth="1"/>
    <col min="7691" max="7691" width="20.28515625" style="39" customWidth="1"/>
    <col min="7692" max="7698" width="13.7109375" style="39" customWidth="1"/>
    <col min="7699" max="7944" width="11.42578125" style="39"/>
    <col min="7945" max="7945" width="12.5703125" style="39" customWidth="1"/>
    <col min="7946" max="7946" width="34.28515625" style="39" customWidth="1"/>
    <col min="7947" max="7947" width="20.28515625" style="39" customWidth="1"/>
    <col min="7948" max="7954" width="13.7109375" style="39" customWidth="1"/>
    <col min="7955" max="8200" width="11.42578125" style="39"/>
    <col min="8201" max="8201" width="12.5703125" style="39" customWidth="1"/>
    <col min="8202" max="8202" width="34.28515625" style="39" customWidth="1"/>
    <col min="8203" max="8203" width="20.28515625" style="39" customWidth="1"/>
    <col min="8204" max="8210" width="13.7109375" style="39" customWidth="1"/>
    <col min="8211" max="8456" width="11.42578125" style="39"/>
    <col min="8457" max="8457" width="12.5703125" style="39" customWidth="1"/>
    <col min="8458" max="8458" width="34.28515625" style="39" customWidth="1"/>
    <col min="8459" max="8459" width="20.28515625" style="39" customWidth="1"/>
    <col min="8460" max="8466" width="13.7109375" style="39" customWidth="1"/>
    <col min="8467" max="8712" width="11.42578125" style="39"/>
    <col min="8713" max="8713" width="12.5703125" style="39" customWidth="1"/>
    <col min="8714" max="8714" width="34.28515625" style="39" customWidth="1"/>
    <col min="8715" max="8715" width="20.28515625" style="39" customWidth="1"/>
    <col min="8716" max="8722" width="13.7109375" style="39" customWidth="1"/>
    <col min="8723" max="8968" width="11.42578125" style="39"/>
    <col min="8969" max="8969" width="12.5703125" style="39" customWidth="1"/>
    <col min="8970" max="8970" width="34.28515625" style="39" customWidth="1"/>
    <col min="8971" max="8971" width="20.28515625" style="39" customWidth="1"/>
    <col min="8972" max="8978" width="13.7109375" style="39" customWidth="1"/>
    <col min="8979" max="9224" width="11.42578125" style="39"/>
    <col min="9225" max="9225" width="12.5703125" style="39" customWidth="1"/>
    <col min="9226" max="9226" width="34.28515625" style="39" customWidth="1"/>
    <col min="9227" max="9227" width="20.28515625" style="39" customWidth="1"/>
    <col min="9228" max="9234" width="13.7109375" style="39" customWidth="1"/>
    <col min="9235" max="9480" width="11.42578125" style="39"/>
    <col min="9481" max="9481" width="12.5703125" style="39" customWidth="1"/>
    <col min="9482" max="9482" width="34.28515625" style="39" customWidth="1"/>
    <col min="9483" max="9483" width="20.28515625" style="39" customWidth="1"/>
    <col min="9484" max="9490" width="13.7109375" style="39" customWidth="1"/>
    <col min="9491" max="9736" width="11.42578125" style="39"/>
    <col min="9737" max="9737" width="12.5703125" style="39" customWidth="1"/>
    <col min="9738" max="9738" width="34.28515625" style="39" customWidth="1"/>
    <col min="9739" max="9739" width="20.28515625" style="39" customWidth="1"/>
    <col min="9740" max="9746" width="13.7109375" style="39" customWidth="1"/>
    <col min="9747" max="9992" width="11.42578125" style="39"/>
    <col min="9993" max="9993" width="12.5703125" style="39" customWidth="1"/>
    <col min="9994" max="9994" width="34.28515625" style="39" customWidth="1"/>
    <col min="9995" max="9995" width="20.28515625" style="39" customWidth="1"/>
    <col min="9996" max="10002" width="13.7109375" style="39" customWidth="1"/>
    <col min="10003" max="10248" width="11.42578125" style="39"/>
    <col min="10249" max="10249" width="12.5703125" style="39" customWidth="1"/>
    <col min="10250" max="10250" width="34.28515625" style="39" customWidth="1"/>
    <col min="10251" max="10251" width="20.28515625" style="39" customWidth="1"/>
    <col min="10252" max="10258" width="13.7109375" style="39" customWidth="1"/>
    <col min="10259" max="10504" width="11.42578125" style="39"/>
    <col min="10505" max="10505" width="12.5703125" style="39" customWidth="1"/>
    <col min="10506" max="10506" width="34.28515625" style="39" customWidth="1"/>
    <col min="10507" max="10507" width="20.28515625" style="39" customWidth="1"/>
    <col min="10508" max="10514" width="13.7109375" style="39" customWidth="1"/>
    <col min="10515" max="10760" width="11.42578125" style="39"/>
    <col min="10761" max="10761" width="12.5703125" style="39" customWidth="1"/>
    <col min="10762" max="10762" width="34.28515625" style="39" customWidth="1"/>
    <col min="10763" max="10763" width="20.28515625" style="39" customWidth="1"/>
    <col min="10764" max="10770" width="13.7109375" style="39" customWidth="1"/>
    <col min="10771" max="11016" width="11.42578125" style="39"/>
    <col min="11017" max="11017" width="12.5703125" style="39" customWidth="1"/>
    <col min="11018" max="11018" width="34.28515625" style="39" customWidth="1"/>
    <col min="11019" max="11019" width="20.28515625" style="39" customWidth="1"/>
    <col min="11020" max="11026" width="13.7109375" style="39" customWidth="1"/>
    <col min="11027" max="11272" width="11.42578125" style="39"/>
    <col min="11273" max="11273" width="12.5703125" style="39" customWidth="1"/>
    <col min="11274" max="11274" width="34.28515625" style="39" customWidth="1"/>
    <col min="11275" max="11275" width="20.28515625" style="39" customWidth="1"/>
    <col min="11276" max="11282" width="13.7109375" style="39" customWidth="1"/>
    <col min="11283" max="11528" width="11.42578125" style="39"/>
    <col min="11529" max="11529" width="12.5703125" style="39" customWidth="1"/>
    <col min="11530" max="11530" width="34.28515625" style="39" customWidth="1"/>
    <col min="11531" max="11531" width="20.28515625" style="39" customWidth="1"/>
    <col min="11532" max="11538" width="13.7109375" style="39" customWidth="1"/>
    <col min="11539" max="11784" width="11.42578125" style="39"/>
    <col min="11785" max="11785" width="12.5703125" style="39" customWidth="1"/>
    <col min="11786" max="11786" width="34.28515625" style="39" customWidth="1"/>
    <col min="11787" max="11787" width="20.28515625" style="39" customWidth="1"/>
    <col min="11788" max="11794" width="13.7109375" style="39" customWidth="1"/>
    <col min="11795" max="12040" width="11.42578125" style="39"/>
    <col min="12041" max="12041" width="12.5703125" style="39" customWidth="1"/>
    <col min="12042" max="12042" width="34.28515625" style="39" customWidth="1"/>
    <col min="12043" max="12043" width="20.28515625" style="39" customWidth="1"/>
    <col min="12044" max="12050" width="13.7109375" style="39" customWidth="1"/>
    <col min="12051" max="12296" width="11.42578125" style="39"/>
    <col min="12297" max="12297" width="12.5703125" style="39" customWidth="1"/>
    <col min="12298" max="12298" width="34.28515625" style="39" customWidth="1"/>
    <col min="12299" max="12299" width="20.28515625" style="39" customWidth="1"/>
    <col min="12300" max="12306" width="13.7109375" style="39" customWidth="1"/>
    <col min="12307" max="12552" width="11.42578125" style="39"/>
    <col min="12553" max="12553" width="12.5703125" style="39" customWidth="1"/>
    <col min="12554" max="12554" width="34.28515625" style="39" customWidth="1"/>
    <col min="12555" max="12555" width="20.28515625" style="39" customWidth="1"/>
    <col min="12556" max="12562" width="13.7109375" style="39" customWidth="1"/>
    <col min="12563" max="12808" width="11.42578125" style="39"/>
    <col min="12809" max="12809" width="12.5703125" style="39" customWidth="1"/>
    <col min="12810" max="12810" width="34.28515625" style="39" customWidth="1"/>
    <col min="12811" max="12811" width="20.28515625" style="39" customWidth="1"/>
    <col min="12812" max="12818" width="13.7109375" style="39" customWidth="1"/>
    <col min="12819" max="13064" width="11.42578125" style="39"/>
    <col min="13065" max="13065" width="12.5703125" style="39" customWidth="1"/>
    <col min="13066" max="13066" width="34.28515625" style="39" customWidth="1"/>
    <col min="13067" max="13067" width="20.28515625" style="39" customWidth="1"/>
    <col min="13068" max="13074" width="13.7109375" style="39" customWidth="1"/>
    <col min="13075" max="13320" width="11.42578125" style="39"/>
    <col min="13321" max="13321" width="12.5703125" style="39" customWidth="1"/>
    <col min="13322" max="13322" width="34.28515625" style="39" customWidth="1"/>
    <col min="13323" max="13323" width="20.28515625" style="39" customWidth="1"/>
    <col min="13324" max="13330" width="13.7109375" style="39" customWidth="1"/>
    <col min="13331" max="13576" width="11.42578125" style="39"/>
    <col min="13577" max="13577" width="12.5703125" style="39" customWidth="1"/>
    <col min="13578" max="13578" width="34.28515625" style="39" customWidth="1"/>
    <col min="13579" max="13579" width="20.28515625" style="39" customWidth="1"/>
    <col min="13580" max="13586" width="13.7109375" style="39" customWidth="1"/>
    <col min="13587" max="13832" width="11.42578125" style="39"/>
    <col min="13833" max="13833" width="12.5703125" style="39" customWidth="1"/>
    <col min="13834" max="13834" width="34.28515625" style="39" customWidth="1"/>
    <col min="13835" max="13835" width="20.28515625" style="39" customWidth="1"/>
    <col min="13836" max="13842" width="13.7109375" style="39" customWidth="1"/>
    <col min="13843" max="14088" width="11.42578125" style="39"/>
    <col min="14089" max="14089" width="12.5703125" style="39" customWidth="1"/>
    <col min="14090" max="14090" width="34.28515625" style="39" customWidth="1"/>
    <col min="14091" max="14091" width="20.28515625" style="39" customWidth="1"/>
    <col min="14092" max="14098" width="13.7109375" style="39" customWidth="1"/>
    <col min="14099" max="14344" width="11.42578125" style="39"/>
    <col min="14345" max="14345" width="12.5703125" style="39" customWidth="1"/>
    <col min="14346" max="14346" width="34.28515625" style="39" customWidth="1"/>
    <col min="14347" max="14347" width="20.28515625" style="39" customWidth="1"/>
    <col min="14348" max="14354" width="13.7109375" style="39" customWidth="1"/>
    <col min="14355" max="14600" width="11.42578125" style="39"/>
    <col min="14601" max="14601" width="12.5703125" style="39" customWidth="1"/>
    <col min="14602" max="14602" width="34.28515625" style="39" customWidth="1"/>
    <col min="14603" max="14603" width="20.28515625" style="39" customWidth="1"/>
    <col min="14604" max="14610" width="13.7109375" style="39" customWidth="1"/>
    <col min="14611" max="14856" width="11.42578125" style="39"/>
    <col min="14857" max="14857" width="12.5703125" style="39" customWidth="1"/>
    <col min="14858" max="14858" width="34.28515625" style="39" customWidth="1"/>
    <col min="14859" max="14859" width="20.28515625" style="39" customWidth="1"/>
    <col min="14860" max="14866" width="13.7109375" style="39" customWidth="1"/>
    <col min="14867" max="15112" width="11.42578125" style="39"/>
    <col min="15113" max="15113" width="12.5703125" style="39" customWidth="1"/>
    <col min="15114" max="15114" width="34.28515625" style="39" customWidth="1"/>
    <col min="15115" max="15115" width="20.28515625" style="39" customWidth="1"/>
    <col min="15116" max="15122" width="13.7109375" style="39" customWidth="1"/>
    <col min="15123" max="15368" width="11.42578125" style="39"/>
    <col min="15369" max="15369" width="12.5703125" style="39" customWidth="1"/>
    <col min="15370" max="15370" width="34.28515625" style="39" customWidth="1"/>
    <col min="15371" max="15371" width="20.28515625" style="39" customWidth="1"/>
    <col min="15372" max="15378" width="13.7109375" style="39" customWidth="1"/>
    <col min="15379" max="15624" width="11.42578125" style="39"/>
    <col min="15625" max="15625" width="12.5703125" style="39" customWidth="1"/>
    <col min="15626" max="15626" width="34.28515625" style="39" customWidth="1"/>
    <col min="15627" max="15627" width="20.28515625" style="39" customWidth="1"/>
    <col min="15628" max="15634" width="13.7109375" style="39" customWidth="1"/>
    <col min="15635" max="15880" width="11.42578125" style="39"/>
    <col min="15881" max="15881" width="12.5703125" style="39" customWidth="1"/>
    <col min="15882" max="15882" width="34.28515625" style="39" customWidth="1"/>
    <col min="15883" max="15883" width="20.28515625" style="39" customWidth="1"/>
    <col min="15884" max="15890" width="13.7109375" style="39" customWidth="1"/>
    <col min="15891" max="16136" width="11.42578125" style="39"/>
    <col min="16137" max="16137" width="12.5703125" style="39" customWidth="1"/>
    <col min="16138" max="16138" width="34.28515625" style="39" customWidth="1"/>
    <col min="16139" max="16139" width="20.28515625" style="39" customWidth="1"/>
    <col min="16140" max="16146" width="13.7109375" style="39" customWidth="1"/>
    <col min="16147" max="16384" width="11.42578125" style="39"/>
  </cols>
  <sheetData>
    <row r="1" spans="1:20" x14ac:dyDescent="0.2">
      <c r="A1" s="148" t="s">
        <v>58</v>
      </c>
      <c r="B1" s="148"/>
      <c r="C1" s="148"/>
      <c r="D1" s="148"/>
      <c r="E1" s="148"/>
      <c r="F1" s="148"/>
      <c r="G1" s="148"/>
      <c r="H1" s="149"/>
      <c r="I1" s="149"/>
      <c r="J1" s="149"/>
      <c r="K1" s="150"/>
      <c r="L1" s="150"/>
      <c r="M1" s="150"/>
      <c r="N1" s="150"/>
      <c r="O1" s="151"/>
      <c r="P1" s="152"/>
      <c r="Q1" s="152"/>
      <c r="R1" s="152"/>
      <c r="S1" s="206"/>
      <c r="T1" s="206"/>
    </row>
    <row r="2" spans="1:20" x14ac:dyDescent="0.2">
      <c r="A2" s="148" t="s">
        <v>59</v>
      </c>
      <c r="B2" s="148"/>
      <c r="C2" s="148"/>
      <c r="D2" s="148"/>
      <c r="E2" s="148"/>
      <c r="F2" s="148"/>
      <c r="G2" s="148"/>
      <c r="H2" s="149"/>
      <c r="I2" s="149"/>
      <c r="J2" s="149"/>
      <c r="K2" s="150"/>
      <c r="L2" s="150"/>
      <c r="M2" s="150"/>
      <c r="N2" s="150"/>
      <c r="O2" s="151"/>
      <c r="P2" s="152"/>
      <c r="Q2" s="152"/>
      <c r="R2" s="152"/>
      <c r="S2" s="206"/>
      <c r="T2" s="206"/>
    </row>
    <row r="3" spans="1:20" ht="6" customHeight="1" x14ac:dyDescent="0.2">
      <c r="A3" s="148"/>
      <c r="B3" s="148"/>
      <c r="C3" s="148"/>
      <c r="D3" s="148"/>
      <c r="E3" s="148"/>
      <c r="F3" s="148"/>
      <c r="G3" s="148"/>
      <c r="H3" s="149"/>
      <c r="I3" s="149"/>
      <c r="J3" s="149"/>
      <c r="K3" s="150"/>
      <c r="L3" s="150"/>
      <c r="M3" s="150"/>
      <c r="N3" s="150"/>
      <c r="O3" s="151"/>
      <c r="P3" s="152"/>
      <c r="Q3" s="152"/>
      <c r="R3" s="152"/>
      <c r="S3" s="206"/>
      <c r="T3" s="206"/>
    </row>
    <row r="4" spans="1:20" x14ac:dyDescent="0.2">
      <c r="A4" s="148" t="s">
        <v>66</v>
      </c>
      <c r="B4" s="148" t="s">
        <v>130</v>
      </c>
      <c r="C4" s="148"/>
      <c r="D4" s="148"/>
      <c r="E4" s="148"/>
      <c r="F4" s="148"/>
      <c r="G4" s="148"/>
      <c r="H4" s="149"/>
      <c r="I4" s="149"/>
      <c r="J4" s="149"/>
      <c r="K4" s="150"/>
      <c r="L4" s="150"/>
      <c r="M4" s="150"/>
      <c r="N4" s="150"/>
      <c r="O4" s="151"/>
      <c r="P4" s="152"/>
      <c r="Q4" s="152"/>
      <c r="R4" s="152"/>
      <c r="S4" s="206"/>
      <c r="T4" s="206"/>
    </row>
    <row r="5" spans="1:20" x14ac:dyDescent="0.2">
      <c r="A5" s="148" t="s">
        <v>67</v>
      </c>
      <c r="B5" s="148" t="s">
        <v>131</v>
      </c>
      <c r="C5" s="148"/>
      <c r="D5" s="148"/>
      <c r="E5" s="148"/>
      <c r="F5" s="148"/>
      <c r="G5" s="148"/>
      <c r="H5" s="149"/>
      <c r="I5" s="149"/>
      <c r="J5" s="149"/>
      <c r="K5" s="150"/>
      <c r="L5" s="150"/>
      <c r="M5" s="150"/>
      <c r="N5" s="150"/>
      <c r="O5" s="151"/>
      <c r="P5" s="152"/>
      <c r="Q5" s="152"/>
      <c r="R5" s="152"/>
      <c r="S5" s="206"/>
      <c r="T5" s="206"/>
    </row>
    <row r="6" spans="1:20" x14ac:dyDescent="0.2">
      <c r="A6" s="148" t="s">
        <v>142</v>
      </c>
      <c r="B6" s="148"/>
      <c r="C6" s="148"/>
      <c r="D6" s="148"/>
      <c r="E6" s="148"/>
      <c r="F6" s="148"/>
      <c r="G6" s="148"/>
      <c r="H6" s="149"/>
      <c r="I6" s="149"/>
      <c r="J6" s="149"/>
      <c r="K6" s="150"/>
      <c r="L6" s="150"/>
      <c r="M6" s="150"/>
      <c r="N6" s="150"/>
      <c r="O6" s="151"/>
      <c r="P6" s="152"/>
      <c r="Q6" s="152"/>
      <c r="R6" s="152"/>
      <c r="S6" s="206"/>
      <c r="T6" s="206"/>
    </row>
    <row r="7" spans="1:20" ht="7.5" customHeight="1" x14ac:dyDescent="0.2">
      <c r="A7" s="341"/>
      <c r="B7" s="341"/>
      <c r="C7" s="341"/>
      <c r="D7" s="341"/>
      <c r="E7" s="341"/>
      <c r="F7" s="341"/>
      <c r="G7" s="341"/>
      <c r="H7" s="341"/>
      <c r="I7" s="341"/>
      <c r="J7" s="341"/>
      <c r="K7" s="150"/>
      <c r="L7" s="150"/>
      <c r="M7" s="150"/>
      <c r="N7" s="150"/>
      <c r="O7" s="153"/>
      <c r="P7" s="153"/>
      <c r="Q7" s="153"/>
      <c r="R7" s="153"/>
      <c r="S7" s="207"/>
      <c r="T7" s="207"/>
    </row>
    <row r="8" spans="1:20" ht="25.5" customHeight="1" x14ac:dyDescent="0.2">
      <c r="A8" s="342" t="s">
        <v>68</v>
      </c>
      <c r="B8" s="343"/>
      <c r="C8" s="343"/>
      <c r="D8" s="343"/>
      <c r="E8" s="343"/>
      <c r="F8" s="343"/>
      <c r="G8" s="343"/>
      <c r="H8" s="343"/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207"/>
      <c r="T8" s="207"/>
    </row>
    <row r="9" spans="1:20" ht="6.75" customHeight="1" x14ac:dyDescent="0.2">
      <c r="A9" s="154"/>
      <c r="B9" s="154"/>
      <c r="C9" s="154"/>
      <c r="D9" s="154"/>
      <c r="E9" s="154"/>
      <c r="F9" s="154"/>
      <c r="G9" s="154"/>
      <c r="H9" s="154"/>
      <c r="I9" s="154"/>
      <c r="J9" s="154"/>
      <c r="K9" s="150"/>
      <c r="L9" s="150"/>
      <c r="M9" s="150"/>
      <c r="N9" s="150"/>
      <c r="O9" s="153"/>
      <c r="P9" s="153"/>
      <c r="Q9" s="153"/>
      <c r="R9" s="153"/>
      <c r="S9" s="207"/>
      <c r="T9" s="207"/>
    </row>
    <row r="10" spans="1:20" ht="19.5" customHeight="1" x14ac:dyDescent="0.25">
      <c r="A10" s="341" t="s">
        <v>132</v>
      </c>
      <c r="B10" s="341"/>
      <c r="C10" s="341"/>
      <c r="D10" s="341"/>
      <c r="E10" s="341"/>
      <c r="F10" s="341"/>
      <c r="G10" s="341"/>
      <c r="H10" s="341"/>
      <c r="I10" s="344"/>
      <c r="J10" s="344"/>
      <c r="K10" s="345"/>
      <c r="L10" s="345"/>
      <c r="M10" s="345"/>
      <c r="N10" s="345"/>
      <c r="O10" s="153"/>
      <c r="P10" s="153"/>
      <c r="Q10" s="153"/>
      <c r="R10" s="153"/>
      <c r="S10" s="207"/>
      <c r="T10" s="207"/>
    </row>
    <row r="11" spans="1:20" ht="16.5" customHeight="1" x14ac:dyDescent="0.2">
      <c r="A11" s="341" t="s">
        <v>133</v>
      </c>
      <c r="B11" s="341"/>
      <c r="C11" s="341"/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155"/>
      <c r="P11" s="155"/>
      <c r="Q11" s="155"/>
      <c r="R11" s="155"/>
      <c r="S11" s="207"/>
      <c r="T11" s="207"/>
    </row>
    <row r="12" spans="1:20" ht="15.75" customHeight="1" x14ac:dyDescent="0.2">
      <c r="A12" s="346" t="s">
        <v>69</v>
      </c>
      <c r="B12" s="347"/>
      <c r="C12" s="347"/>
      <c r="D12" s="347"/>
      <c r="E12" s="347"/>
      <c r="F12" s="347"/>
      <c r="G12" s="347"/>
      <c r="H12" s="347"/>
      <c r="I12" s="347"/>
      <c r="J12" s="347"/>
      <c r="K12" s="347"/>
      <c r="L12" s="347"/>
      <c r="M12" s="347"/>
      <c r="N12" s="347"/>
      <c r="O12" s="347"/>
      <c r="P12" s="347"/>
      <c r="Q12" s="347"/>
      <c r="R12" s="347"/>
      <c r="S12" s="347"/>
      <c r="T12" s="347"/>
    </row>
    <row r="13" spans="1:20" ht="13.5" thickBot="1" x14ac:dyDescent="0.25">
      <c r="A13" s="156"/>
      <c r="B13" s="157"/>
      <c r="C13" s="208"/>
      <c r="D13" s="208"/>
      <c r="E13" s="158"/>
      <c r="F13" s="159"/>
      <c r="G13" s="159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59"/>
      <c r="S13" s="148"/>
      <c r="T13" s="148"/>
    </row>
    <row r="14" spans="1:20" ht="68.25" thickBot="1" x14ac:dyDescent="0.25">
      <c r="A14" s="161" t="s">
        <v>0</v>
      </c>
      <c r="B14" s="162" t="s">
        <v>1</v>
      </c>
      <c r="C14" s="284" t="s">
        <v>54</v>
      </c>
      <c r="D14" s="285" t="s">
        <v>56</v>
      </c>
      <c r="E14" s="286" t="s">
        <v>55</v>
      </c>
      <c r="F14" s="164" t="s">
        <v>61</v>
      </c>
      <c r="G14" s="210" t="s">
        <v>49</v>
      </c>
      <c r="H14" s="210" t="s">
        <v>48</v>
      </c>
      <c r="I14" s="164" t="s">
        <v>62</v>
      </c>
      <c r="J14" s="164" t="s">
        <v>50</v>
      </c>
      <c r="K14" s="210" t="s">
        <v>51</v>
      </c>
      <c r="L14" s="164" t="s">
        <v>63</v>
      </c>
      <c r="M14" s="210" t="s">
        <v>52</v>
      </c>
      <c r="N14" s="210" t="s">
        <v>53</v>
      </c>
      <c r="O14" s="164" t="s">
        <v>64</v>
      </c>
      <c r="P14" s="164" t="s">
        <v>65</v>
      </c>
      <c r="Q14" s="209" t="s">
        <v>2</v>
      </c>
      <c r="R14" s="209" t="s">
        <v>3</v>
      </c>
      <c r="S14" s="163" t="s">
        <v>47</v>
      </c>
      <c r="T14" s="260" t="s">
        <v>71</v>
      </c>
    </row>
    <row r="15" spans="1:20" ht="21" customHeight="1" x14ac:dyDescent="0.2">
      <c r="A15" s="339" t="s">
        <v>30</v>
      </c>
      <c r="B15" s="340"/>
      <c r="C15" s="220">
        <f>SUM(C17,C35)</f>
        <v>83603.291525648674</v>
      </c>
      <c r="D15" s="259">
        <f>SUM(D17,D35)</f>
        <v>90804.929325104516</v>
      </c>
      <c r="E15" s="220">
        <f>SUM(E17,E35)</f>
        <v>93690.000112814392</v>
      </c>
      <c r="F15" s="220">
        <f>SUM(F17,F35)</f>
        <v>70343.081931780471</v>
      </c>
      <c r="G15" s="220">
        <f>SUM(G17,G35)</f>
        <v>663.61404207313024</v>
      </c>
      <c r="H15" s="220">
        <f t="shared" ref="H15" si="0">SUM(H17,H35)</f>
        <v>0</v>
      </c>
      <c r="I15" s="220">
        <f>SUM(I17,I35)</f>
        <v>12264.560000000001</v>
      </c>
      <c r="J15" s="220">
        <f t="shared" ref="J15:T15" si="1">SUM(J17,J35)</f>
        <v>4645.298294511912</v>
      </c>
      <c r="K15" s="220">
        <f t="shared" si="1"/>
        <v>0</v>
      </c>
      <c r="L15" s="220">
        <f t="shared" si="1"/>
        <v>2189.9299999999998</v>
      </c>
      <c r="M15" s="220">
        <f t="shared" si="1"/>
        <v>0</v>
      </c>
      <c r="N15" s="220">
        <f t="shared" si="1"/>
        <v>0</v>
      </c>
      <c r="O15" s="220">
        <f t="shared" si="1"/>
        <v>3318.07</v>
      </c>
      <c r="P15" s="220">
        <f t="shared" si="1"/>
        <v>265.45</v>
      </c>
      <c r="Q15" s="220">
        <f t="shared" si="1"/>
        <v>0</v>
      </c>
      <c r="R15" s="220">
        <f t="shared" si="1"/>
        <v>0</v>
      </c>
      <c r="S15" s="221">
        <f t="shared" si="1"/>
        <v>90750</v>
      </c>
      <c r="T15" s="222">
        <f t="shared" si="1"/>
        <v>90889.999004578931</v>
      </c>
    </row>
    <row r="16" spans="1:20" ht="15.75" customHeight="1" x14ac:dyDescent="0.2">
      <c r="A16" s="350" t="s">
        <v>75</v>
      </c>
      <c r="B16" s="351"/>
      <c r="C16" s="223"/>
      <c r="D16" s="224"/>
      <c r="E16" s="225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6"/>
      <c r="S16" s="227"/>
      <c r="T16" s="228"/>
    </row>
    <row r="17" spans="1:35" s="11" customFormat="1" ht="22.5" x14ac:dyDescent="0.2">
      <c r="A17" s="196">
        <v>1025</v>
      </c>
      <c r="B17" s="197" t="s">
        <v>4</v>
      </c>
      <c r="C17" s="198">
        <f>SUM(C19,C31)</f>
        <v>33691.55219324441</v>
      </c>
      <c r="D17" s="198">
        <f>SUM(D19,D31)</f>
        <v>33897.070807618293</v>
      </c>
      <c r="E17" s="198">
        <f>SUM(E19,E31)</f>
        <v>36148.700112814389</v>
      </c>
      <c r="F17" s="198">
        <f>SUM(F19,F31)</f>
        <v>19238.829999999998</v>
      </c>
      <c r="G17" s="198">
        <f>SUM(G19,G31)</f>
        <v>0</v>
      </c>
      <c r="H17" s="198">
        <f t="shared" ref="H17:T17" si="2">SUM(H19,H31)</f>
        <v>0</v>
      </c>
      <c r="I17" s="198">
        <f t="shared" si="2"/>
        <v>12264.560000000001</v>
      </c>
      <c r="J17" s="198">
        <f t="shared" si="2"/>
        <v>4645.298294511912</v>
      </c>
      <c r="K17" s="198">
        <f t="shared" si="2"/>
        <v>0</v>
      </c>
      <c r="L17" s="198">
        <f t="shared" si="2"/>
        <v>0</v>
      </c>
      <c r="M17" s="198">
        <f t="shared" si="2"/>
        <v>0</v>
      </c>
      <c r="N17" s="198">
        <f t="shared" si="2"/>
        <v>0</v>
      </c>
      <c r="O17" s="198">
        <f t="shared" si="2"/>
        <v>0</v>
      </c>
      <c r="P17" s="198">
        <f t="shared" si="2"/>
        <v>0</v>
      </c>
      <c r="Q17" s="198">
        <f t="shared" si="2"/>
        <v>0</v>
      </c>
      <c r="R17" s="198">
        <f t="shared" si="2"/>
        <v>0</v>
      </c>
      <c r="S17" s="198">
        <f t="shared" si="2"/>
        <v>34143.07</v>
      </c>
      <c r="T17" s="199">
        <f t="shared" si="2"/>
        <v>34454.959999999999</v>
      </c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</row>
    <row r="18" spans="1:35" s="11" customFormat="1" x14ac:dyDescent="0.2">
      <c r="A18" s="352" t="s">
        <v>26</v>
      </c>
      <c r="B18" s="353"/>
      <c r="C18" s="229"/>
      <c r="D18" s="229"/>
      <c r="E18" s="230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31"/>
      <c r="S18" s="232"/>
      <c r="T18" s="233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</row>
    <row r="19" spans="1:35" s="11" customFormat="1" ht="24.75" customHeight="1" x14ac:dyDescent="0.2">
      <c r="A19" s="348" t="s">
        <v>38</v>
      </c>
      <c r="B19" s="349"/>
      <c r="C19" s="214">
        <f>SUM(C29,C24,C20)</f>
        <v>32762.492534342025</v>
      </c>
      <c r="D19" s="214">
        <f>SUM(D29,D24,D20)</f>
        <v>32848.560621142744</v>
      </c>
      <c r="E19" s="214">
        <f>SUM(E29,E24,E20)</f>
        <v>34237.480112814388</v>
      </c>
      <c r="F19" s="214">
        <f t="shared" ref="F19:T19" si="3">SUM(F29,F24,F20)</f>
        <v>17911.599999999999</v>
      </c>
      <c r="G19" s="214">
        <f t="shared" si="3"/>
        <v>0</v>
      </c>
      <c r="H19" s="214">
        <f t="shared" si="3"/>
        <v>0</v>
      </c>
      <c r="I19" s="214">
        <f t="shared" si="3"/>
        <v>11680.570000000002</v>
      </c>
      <c r="J19" s="214">
        <f t="shared" si="3"/>
        <v>4645.298294511912</v>
      </c>
      <c r="K19" s="214">
        <f t="shared" si="3"/>
        <v>0</v>
      </c>
      <c r="L19" s="214">
        <f t="shared" si="3"/>
        <v>0</v>
      </c>
      <c r="M19" s="214">
        <f t="shared" si="3"/>
        <v>0</v>
      </c>
      <c r="N19" s="214">
        <f t="shared" si="3"/>
        <v>0</v>
      </c>
      <c r="O19" s="214">
        <f t="shared" si="3"/>
        <v>0</v>
      </c>
      <c r="P19" s="214">
        <f t="shared" si="3"/>
        <v>0</v>
      </c>
      <c r="Q19" s="214">
        <f t="shared" si="3"/>
        <v>0</v>
      </c>
      <c r="R19" s="214">
        <f t="shared" si="3"/>
        <v>0</v>
      </c>
      <c r="S19" s="214">
        <f t="shared" si="3"/>
        <v>34010.35</v>
      </c>
      <c r="T19" s="215">
        <f t="shared" si="3"/>
        <v>34322.239999999998</v>
      </c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</row>
    <row r="20" spans="1:35" s="11" customFormat="1" x14ac:dyDescent="0.2">
      <c r="A20" s="173">
        <v>31</v>
      </c>
      <c r="B20" s="174" t="s">
        <v>5</v>
      </c>
      <c r="C20" s="234">
        <f>SUM(C21:C23)</f>
        <v>18175.459552724133</v>
      </c>
      <c r="D20" s="235">
        <f>SUM(D21:D23)</f>
        <v>17651.337182294777</v>
      </c>
      <c r="E20" s="230">
        <f>SUM(E21:E23)</f>
        <v>19921.69354303537</v>
      </c>
      <c r="F20" s="230">
        <f t="shared" ref="F20:R20" si="4">SUM(F21:F23)</f>
        <v>17911.599999999999</v>
      </c>
      <c r="G20" s="230">
        <f t="shared" si="4"/>
        <v>0</v>
      </c>
      <c r="H20" s="230">
        <f t="shared" si="4"/>
        <v>0</v>
      </c>
      <c r="I20" s="230">
        <f t="shared" si="4"/>
        <v>2010.0800000000002</v>
      </c>
      <c r="J20" s="230">
        <f t="shared" si="4"/>
        <v>0</v>
      </c>
      <c r="K20" s="230">
        <f t="shared" si="4"/>
        <v>0</v>
      </c>
      <c r="L20" s="230">
        <f t="shared" si="4"/>
        <v>0</v>
      </c>
      <c r="M20" s="230">
        <f t="shared" si="4"/>
        <v>0</v>
      </c>
      <c r="N20" s="230">
        <f t="shared" si="4"/>
        <v>0</v>
      </c>
      <c r="O20" s="230">
        <f t="shared" si="4"/>
        <v>0</v>
      </c>
      <c r="P20" s="230">
        <f t="shared" si="4"/>
        <v>0</v>
      </c>
      <c r="Q20" s="230">
        <f t="shared" si="4"/>
        <v>0</v>
      </c>
      <c r="R20" s="230">
        <f t="shared" si="4"/>
        <v>0</v>
      </c>
      <c r="S20" s="230">
        <f>SUM(S21:S23)</f>
        <v>19888.510000000002</v>
      </c>
      <c r="T20" s="236">
        <f>SUM(T21:T23)</f>
        <v>19934.96</v>
      </c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</row>
    <row r="21" spans="1:35" x14ac:dyDescent="0.2">
      <c r="A21" s="176">
        <v>311</v>
      </c>
      <c r="B21" s="177" t="s">
        <v>6</v>
      </c>
      <c r="C21" s="237">
        <f>103556/7.5345</f>
        <v>13744.243148185014</v>
      </c>
      <c r="D21" s="238">
        <f>106530/7.5345</f>
        <v>14138.960780410112</v>
      </c>
      <c r="E21" s="239">
        <f>118500/7.5345</f>
        <v>15727.652797133187</v>
      </c>
      <c r="F21" s="240">
        <v>15727.65</v>
      </c>
      <c r="G21" s="223"/>
      <c r="H21" s="223"/>
      <c r="I21" s="223">
        <v>0</v>
      </c>
      <c r="J21" s="223"/>
      <c r="K21" s="223"/>
      <c r="L21" s="223"/>
      <c r="M21" s="223"/>
      <c r="N21" s="223"/>
      <c r="O21" s="223"/>
      <c r="P21" s="223"/>
      <c r="Q21" s="223"/>
      <c r="R21" s="223"/>
      <c r="S21" s="239">
        <v>15761.5</v>
      </c>
      <c r="T21" s="241">
        <v>15789.1</v>
      </c>
    </row>
    <row r="22" spans="1:35" x14ac:dyDescent="0.2">
      <c r="A22" s="176">
        <v>312</v>
      </c>
      <c r="B22" s="177" t="s">
        <v>7</v>
      </c>
      <c r="C22" s="237">
        <f>16300/7.5345</f>
        <v>2163.3817771584045</v>
      </c>
      <c r="D22" s="238">
        <f>8800/7.5345</f>
        <v>1167.9607140487092</v>
      </c>
      <c r="E22" s="225">
        <f>12000/7.5345</f>
        <v>1592.6737009755125</v>
      </c>
      <c r="F22" s="223">
        <f>0/7.5345</f>
        <v>0</v>
      </c>
      <c r="G22" s="223"/>
      <c r="H22" s="223"/>
      <c r="I22" s="223">
        <v>1592.67</v>
      </c>
      <c r="J22" s="223"/>
      <c r="K22" s="223"/>
      <c r="L22" s="223"/>
      <c r="M22" s="223"/>
      <c r="N22" s="223"/>
      <c r="O22" s="223"/>
      <c r="P22" s="223"/>
      <c r="Q22" s="223"/>
      <c r="R22" s="223"/>
      <c r="S22" s="239">
        <v>1526.31</v>
      </c>
      <c r="T22" s="241">
        <v>1539.59</v>
      </c>
    </row>
    <row r="23" spans="1:35" x14ac:dyDescent="0.2">
      <c r="A23" s="176">
        <v>313</v>
      </c>
      <c r="B23" s="177" t="s">
        <v>8</v>
      </c>
      <c r="C23" s="237">
        <f>17087/7.5345</f>
        <v>2267.8346273807151</v>
      </c>
      <c r="D23" s="238">
        <f>17664/7.5345</f>
        <v>2344.4156878359545</v>
      </c>
      <c r="E23" s="225">
        <f>19600/7.5345</f>
        <v>2601.3670449266706</v>
      </c>
      <c r="F23" s="223">
        <v>2183.9499999999998</v>
      </c>
      <c r="G23" s="223"/>
      <c r="H23" s="223"/>
      <c r="I23" s="223">
        <v>417.41</v>
      </c>
      <c r="J23" s="223"/>
      <c r="K23" s="223"/>
      <c r="L23" s="223"/>
      <c r="M23" s="223"/>
      <c r="N23" s="223"/>
      <c r="O23" s="223"/>
      <c r="P23" s="223"/>
      <c r="Q23" s="223"/>
      <c r="R23" s="223"/>
      <c r="S23" s="239">
        <v>2600.6999999999998</v>
      </c>
      <c r="T23" s="241">
        <v>2606.27</v>
      </c>
    </row>
    <row r="24" spans="1:35" x14ac:dyDescent="0.2">
      <c r="A24" s="173">
        <v>32</v>
      </c>
      <c r="B24" s="174" t="s">
        <v>9</v>
      </c>
      <c r="C24" s="234">
        <f>SUM(C25:C28)</f>
        <v>14431.747295772779</v>
      </c>
      <c r="D24" s="235">
        <f>SUM(D25:D28)</f>
        <v>14998.139226226025</v>
      </c>
      <c r="E24" s="230">
        <f>SUM(E25:E28)</f>
        <v>14129.006569779016</v>
      </c>
      <c r="F24" s="230">
        <f t="shared" ref="F24:R24" si="5">SUM(F25:F28)</f>
        <v>0</v>
      </c>
      <c r="G24" s="230">
        <f t="shared" si="5"/>
        <v>0</v>
      </c>
      <c r="H24" s="230">
        <f t="shared" si="5"/>
        <v>0</v>
      </c>
      <c r="I24" s="230">
        <f t="shared" si="5"/>
        <v>9483.7100000000009</v>
      </c>
      <c r="J24" s="230">
        <f t="shared" si="5"/>
        <v>4645.298294511912</v>
      </c>
      <c r="K24" s="230">
        <f t="shared" si="5"/>
        <v>0</v>
      </c>
      <c r="L24" s="230">
        <f t="shared" si="5"/>
        <v>0</v>
      </c>
      <c r="M24" s="230">
        <f t="shared" si="5"/>
        <v>0</v>
      </c>
      <c r="N24" s="230">
        <f t="shared" si="5"/>
        <v>0</v>
      </c>
      <c r="O24" s="230">
        <f t="shared" si="5"/>
        <v>0</v>
      </c>
      <c r="P24" s="230">
        <f t="shared" si="5"/>
        <v>0</v>
      </c>
      <c r="Q24" s="230">
        <f t="shared" si="5"/>
        <v>0</v>
      </c>
      <c r="R24" s="230">
        <f t="shared" si="5"/>
        <v>0</v>
      </c>
      <c r="S24" s="230">
        <f>SUM(S25:S28)</f>
        <v>13935.899999999998</v>
      </c>
      <c r="T24" s="236">
        <f>SUM(T25:T28)</f>
        <v>14201.339999999998</v>
      </c>
    </row>
    <row r="25" spans="1:35" ht="19.5" customHeight="1" x14ac:dyDescent="0.2">
      <c r="A25" s="176">
        <v>321</v>
      </c>
      <c r="B25" s="177" t="s">
        <v>10</v>
      </c>
      <c r="C25" s="237">
        <f>12712/7.5345</f>
        <v>1687.1723405667262</v>
      </c>
      <c r="D25" s="238">
        <f>15100/7.5345</f>
        <v>2004.1144070608534</v>
      </c>
      <c r="E25" s="225">
        <f>17200/7.5345</f>
        <v>2282.832304731568</v>
      </c>
      <c r="F25" s="223"/>
      <c r="G25" s="223"/>
      <c r="H25" s="223"/>
      <c r="I25" s="223">
        <v>1959.65</v>
      </c>
      <c r="J25" s="223">
        <f>2435/7.5345</f>
        <v>323.18003848961445</v>
      </c>
      <c r="K25" s="223"/>
      <c r="L25" s="223"/>
      <c r="M25" s="223"/>
      <c r="N25" s="223"/>
      <c r="O25" s="223"/>
      <c r="P25" s="223"/>
      <c r="Q25" s="223"/>
      <c r="R25" s="223"/>
      <c r="S25" s="239">
        <v>2282.83</v>
      </c>
      <c r="T25" s="241">
        <v>2282.83</v>
      </c>
    </row>
    <row r="26" spans="1:35" ht="18" x14ac:dyDescent="0.2">
      <c r="A26" s="176">
        <v>322</v>
      </c>
      <c r="B26" s="177" t="s">
        <v>11</v>
      </c>
      <c r="C26" s="237">
        <f>16839/7.5345</f>
        <v>2234.9193708938878</v>
      </c>
      <c r="D26" s="238">
        <f>12187.55/7.5345</f>
        <v>1617.5658636936755</v>
      </c>
      <c r="E26" s="225">
        <f>12960/7.5345</f>
        <v>1720.0875970535535</v>
      </c>
      <c r="F26" s="223"/>
      <c r="G26" s="223"/>
      <c r="H26" s="223"/>
      <c r="I26" s="223">
        <v>743.25</v>
      </c>
      <c r="J26" s="223">
        <f>7360/7.5345</f>
        <v>976.83986993164774</v>
      </c>
      <c r="K26" s="223"/>
      <c r="L26" s="223"/>
      <c r="M26" s="223"/>
      <c r="N26" s="223"/>
      <c r="O26" s="223"/>
      <c r="P26" s="223"/>
      <c r="Q26" s="223"/>
      <c r="R26" s="223"/>
      <c r="S26" s="239">
        <v>1712.12</v>
      </c>
      <c r="T26" s="241">
        <v>1765.21</v>
      </c>
    </row>
    <row r="27" spans="1:35" x14ac:dyDescent="0.2">
      <c r="A27" s="176">
        <v>323</v>
      </c>
      <c r="B27" s="177" t="s">
        <v>12</v>
      </c>
      <c r="C27" s="237">
        <f>70815/7.5345</f>
        <v>9398.7656778817436</v>
      </c>
      <c r="D27" s="238">
        <f>78326.93/7.5345</f>
        <v>10395.770124095825</v>
      </c>
      <c r="E27" s="225">
        <f>69700/7.5345</f>
        <v>9250.7797464994346</v>
      </c>
      <c r="F27" s="223"/>
      <c r="G27" s="223"/>
      <c r="H27" s="223"/>
      <c r="I27" s="223">
        <v>6569.78</v>
      </c>
      <c r="J27" s="223">
        <f>20200/7.5345</f>
        <v>2681.0007299754461</v>
      </c>
      <c r="K27" s="223"/>
      <c r="L27" s="223"/>
      <c r="M27" s="223"/>
      <c r="N27" s="223"/>
      <c r="O27" s="223"/>
      <c r="P27" s="223"/>
      <c r="Q27" s="223"/>
      <c r="R27" s="223"/>
      <c r="S27" s="239">
        <v>9064.9699999999993</v>
      </c>
      <c r="T27" s="241">
        <v>9277.33</v>
      </c>
    </row>
    <row r="28" spans="1:35" x14ac:dyDescent="0.2">
      <c r="A28" s="176">
        <v>329</v>
      </c>
      <c r="B28" s="283" t="s">
        <v>36</v>
      </c>
      <c r="C28" s="237">
        <f>8370/7.5345</f>
        <v>1110.8899064304201</v>
      </c>
      <c r="D28" s="242">
        <f>7389/7.5345</f>
        <v>980.68883137567184</v>
      </c>
      <c r="E28" s="225">
        <f>6595/7.5345</f>
        <v>875.30692149445872</v>
      </c>
      <c r="F28" s="223"/>
      <c r="G28" s="223"/>
      <c r="H28" s="223"/>
      <c r="I28" s="223">
        <v>211.03</v>
      </c>
      <c r="J28" s="223">
        <f>5005/7.5345</f>
        <v>664.2776561152034</v>
      </c>
      <c r="K28" s="223"/>
      <c r="L28" s="223"/>
      <c r="M28" s="223"/>
      <c r="N28" s="223"/>
      <c r="O28" s="229"/>
      <c r="P28" s="229"/>
      <c r="Q28" s="229"/>
      <c r="R28" s="229"/>
      <c r="S28" s="239">
        <v>875.98</v>
      </c>
      <c r="T28" s="241">
        <v>875.97</v>
      </c>
    </row>
    <row r="29" spans="1:35" x14ac:dyDescent="0.2">
      <c r="A29" s="173">
        <v>34</v>
      </c>
      <c r="B29" s="174" t="s">
        <v>13</v>
      </c>
      <c r="C29" s="234">
        <f>1170/7.5345</f>
        <v>155.28568584511248</v>
      </c>
      <c r="D29" s="235">
        <f>SUM(D30)</f>
        <v>199.08421262193906</v>
      </c>
      <c r="E29" s="230">
        <f>SUM(E30)</f>
        <v>186.78</v>
      </c>
      <c r="F29" s="229"/>
      <c r="G29" s="229"/>
      <c r="H29" s="229"/>
      <c r="I29" s="229">
        <f t="shared" ref="I29:R29" si="6">SUM(I30)</f>
        <v>186.78</v>
      </c>
      <c r="J29" s="229"/>
      <c r="K29" s="229"/>
      <c r="L29" s="229"/>
      <c r="M29" s="229"/>
      <c r="N29" s="229"/>
      <c r="O29" s="229">
        <f t="shared" si="6"/>
        <v>0</v>
      </c>
      <c r="P29" s="229"/>
      <c r="Q29" s="229">
        <f t="shared" si="6"/>
        <v>0</v>
      </c>
      <c r="R29" s="229">
        <f t="shared" si="6"/>
        <v>0</v>
      </c>
      <c r="S29" s="229">
        <v>185.94</v>
      </c>
      <c r="T29" s="243">
        <v>185.94</v>
      </c>
    </row>
    <row r="30" spans="1:35" x14ac:dyDescent="0.2">
      <c r="A30" s="176">
        <v>343</v>
      </c>
      <c r="B30" s="177" t="s">
        <v>14</v>
      </c>
      <c r="C30" s="237">
        <f>1170/7.5345</f>
        <v>155.28568584511248</v>
      </c>
      <c r="D30" s="238">
        <f>1500/7.5345</f>
        <v>199.08421262193906</v>
      </c>
      <c r="E30" s="239">
        <v>186.78</v>
      </c>
      <c r="F30" s="240"/>
      <c r="G30" s="240"/>
      <c r="H30" s="240"/>
      <c r="I30" s="240">
        <v>186.78</v>
      </c>
      <c r="J30" s="223"/>
      <c r="K30" s="223"/>
      <c r="L30" s="223"/>
      <c r="M30" s="223"/>
      <c r="N30" s="223"/>
      <c r="O30" s="223"/>
      <c r="P30" s="223"/>
      <c r="Q30" s="223"/>
      <c r="R30" s="223"/>
      <c r="S30" s="223">
        <v>185.94</v>
      </c>
      <c r="T30" s="244">
        <v>185.94</v>
      </c>
    </row>
    <row r="31" spans="1:35" ht="35.25" customHeight="1" x14ac:dyDescent="0.2">
      <c r="A31" s="348" t="s">
        <v>39</v>
      </c>
      <c r="B31" s="349"/>
      <c r="C31" s="216">
        <f>SUM(C32)</f>
        <v>929.05965890238235</v>
      </c>
      <c r="D31" s="216">
        <f>SUM(D32)</f>
        <v>1048.5101864755459</v>
      </c>
      <c r="E31" s="216">
        <f>SUM(E32)</f>
        <v>1911.2199999999998</v>
      </c>
      <c r="F31" s="216">
        <f>SUM(F32:F34)</f>
        <v>1327.23</v>
      </c>
      <c r="G31" s="216">
        <f t="shared" ref="G31:T31" si="7">SUM(G32)</f>
        <v>0</v>
      </c>
      <c r="H31" s="216">
        <f t="shared" si="7"/>
        <v>0</v>
      </c>
      <c r="I31" s="216">
        <f t="shared" si="7"/>
        <v>583.99</v>
      </c>
      <c r="J31" s="216">
        <f t="shared" si="7"/>
        <v>0</v>
      </c>
      <c r="K31" s="216">
        <f t="shared" si="7"/>
        <v>0</v>
      </c>
      <c r="L31" s="216">
        <f t="shared" si="7"/>
        <v>0</v>
      </c>
      <c r="M31" s="216">
        <f t="shared" si="7"/>
        <v>0</v>
      </c>
      <c r="N31" s="216">
        <f t="shared" si="7"/>
        <v>0</v>
      </c>
      <c r="O31" s="216">
        <f t="shared" si="7"/>
        <v>0</v>
      </c>
      <c r="P31" s="216">
        <f t="shared" si="7"/>
        <v>0</v>
      </c>
      <c r="Q31" s="216">
        <f t="shared" si="7"/>
        <v>0</v>
      </c>
      <c r="R31" s="216">
        <f t="shared" si="7"/>
        <v>0</v>
      </c>
      <c r="S31" s="216">
        <f t="shared" si="7"/>
        <v>132.72</v>
      </c>
      <c r="T31" s="217">
        <f t="shared" si="7"/>
        <v>132.72</v>
      </c>
    </row>
    <row r="32" spans="1:35" ht="27" x14ac:dyDescent="0.2">
      <c r="A32" s="173">
        <v>42</v>
      </c>
      <c r="B32" s="174" t="s">
        <v>28</v>
      </c>
      <c r="C32" s="234">
        <f>SUM(C33:C34)</f>
        <v>929.05965890238235</v>
      </c>
      <c r="D32" s="245">
        <f>SUM(D33:D34)</f>
        <v>1048.5101864755459</v>
      </c>
      <c r="E32" s="230">
        <f>SUM(E33:E34)</f>
        <v>1911.2199999999998</v>
      </c>
      <c r="F32" s="229"/>
      <c r="G32" s="229"/>
      <c r="H32" s="229"/>
      <c r="I32" s="229">
        <f t="shared" ref="I32" si="8">SUM(I33:I34)</f>
        <v>583.99</v>
      </c>
      <c r="J32" s="229"/>
      <c r="K32" s="229"/>
      <c r="L32" s="229"/>
      <c r="M32" s="229"/>
      <c r="N32" s="229"/>
      <c r="O32" s="229">
        <f t="shared" ref="O32" si="9">SUM(O33:O34)</f>
        <v>0</v>
      </c>
      <c r="P32" s="229"/>
      <c r="Q32" s="229">
        <f t="shared" ref="Q32:R32" si="10">SUM(Q33:Q34)</f>
        <v>0</v>
      </c>
      <c r="R32" s="229">
        <f t="shared" si="10"/>
        <v>0</v>
      </c>
      <c r="S32" s="229">
        <v>132.72</v>
      </c>
      <c r="T32" s="243">
        <v>132.72</v>
      </c>
    </row>
    <row r="33" spans="1:20" x14ac:dyDescent="0.2">
      <c r="A33" s="176">
        <v>422</v>
      </c>
      <c r="B33" s="177" t="s">
        <v>29</v>
      </c>
      <c r="C33" s="237">
        <f>7000/7.5345</f>
        <v>929.05965890238235</v>
      </c>
      <c r="D33" s="238">
        <f>4700/7.5345</f>
        <v>623.79719954874247</v>
      </c>
      <c r="E33" s="225">
        <v>530.9</v>
      </c>
      <c r="F33" s="223"/>
      <c r="G33" s="223"/>
      <c r="H33" s="223"/>
      <c r="I33" s="223">
        <v>530.9</v>
      </c>
      <c r="J33" s="223"/>
      <c r="K33" s="223"/>
      <c r="L33" s="229"/>
      <c r="M33" s="229"/>
      <c r="N33" s="229"/>
      <c r="O33" s="229"/>
      <c r="P33" s="229"/>
      <c r="Q33" s="229"/>
      <c r="R33" s="229"/>
      <c r="S33" s="223">
        <v>132.72</v>
      </c>
      <c r="T33" s="244">
        <v>132.72</v>
      </c>
    </row>
    <row r="34" spans="1:20" x14ac:dyDescent="0.2">
      <c r="A34" s="176">
        <v>426</v>
      </c>
      <c r="B34" s="177" t="s">
        <v>27</v>
      </c>
      <c r="C34" s="237">
        <f>0/7.5345</f>
        <v>0</v>
      </c>
      <c r="D34" s="238">
        <f>3200/7.5345</f>
        <v>424.71298692680335</v>
      </c>
      <c r="E34" s="225">
        <v>1380.32</v>
      </c>
      <c r="F34" s="223">
        <v>1327.23</v>
      </c>
      <c r="G34" s="223"/>
      <c r="H34" s="223"/>
      <c r="I34" s="223">
        <v>53.09</v>
      </c>
      <c r="J34" s="223"/>
      <c r="K34" s="223"/>
      <c r="L34" s="229"/>
      <c r="M34" s="229"/>
      <c r="N34" s="229"/>
      <c r="O34" s="229"/>
      <c r="P34" s="229"/>
      <c r="Q34" s="229"/>
      <c r="R34" s="229"/>
      <c r="S34" s="240"/>
      <c r="T34" s="246"/>
    </row>
    <row r="35" spans="1:20" ht="33.75" x14ac:dyDescent="0.2">
      <c r="A35" s="183">
        <v>1026</v>
      </c>
      <c r="B35" s="184" t="s">
        <v>31</v>
      </c>
      <c r="C35" s="146">
        <f>SUM(C37,C50)</f>
        <v>49911.739332404271</v>
      </c>
      <c r="D35" s="146">
        <f>SUM(D37,D50)</f>
        <v>56907.858517486224</v>
      </c>
      <c r="E35" s="146">
        <f>SUM(E37,E50)</f>
        <v>57541.3</v>
      </c>
      <c r="F35" s="146">
        <f t="shared" ref="F35:T35" si="11">SUM(F37,F50)</f>
        <v>51104.251931780476</v>
      </c>
      <c r="G35" s="146">
        <f t="shared" si="11"/>
        <v>663.61404207313024</v>
      </c>
      <c r="H35" s="146">
        <f t="shared" si="11"/>
        <v>0</v>
      </c>
      <c r="I35" s="146">
        <f t="shared" si="11"/>
        <v>0</v>
      </c>
      <c r="J35" s="146">
        <f t="shared" si="11"/>
        <v>0</v>
      </c>
      <c r="K35" s="146">
        <f t="shared" si="11"/>
        <v>0</v>
      </c>
      <c r="L35" s="146">
        <f t="shared" si="11"/>
        <v>2189.9299999999998</v>
      </c>
      <c r="M35" s="146">
        <f t="shared" si="11"/>
        <v>0</v>
      </c>
      <c r="N35" s="146">
        <f t="shared" si="11"/>
        <v>0</v>
      </c>
      <c r="O35" s="146">
        <f t="shared" si="11"/>
        <v>3318.07</v>
      </c>
      <c r="P35" s="146">
        <f t="shared" si="11"/>
        <v>265.45</v>
      </c>
      <c r="Q35" s="146">
        <f t="shared" si="11"/>
        <v>0</v>
      </c>
      <c r="R35" s="146">
        <f t="shared" si="11"/>
        <v>0</v>
      </c>
      <c r="S35" s="212">
        <f t="shared" si="11"/>
        <v>56606.93</v>
      </c>
      <c r="T35" s="213">
        <f t="shared" si="11"/>
        <v>56435.039004578932</v>
      </c>
    </row>
    <row r="36" spans="1:20" x14ac:dyDescent="0.2">
      <c r="A36" s="354" t="s">
        <v>32</v>
      </c>
      <c r="B36" s="355"/>
      <c r="C36" s="229"/>
      <c r="D36" s="238"/>
      <c r="E36" s="230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31"/>
      <c r="S36" s="247"/>
      <c r="T36" s="248"/>
    </row>
    <row r="37" spans="1:20" ht="25.5" customHeight="1" x14ac:dyDescent="0.2">
      <c r="A37" s="348" t="s">
        <v>33</v>
      </c>
      <c r="B37" s="349"/>
      <c r="C37" s="214">
        <f>SUM(C48,C42,C38)</f>
        <v>44006.636140420727</v>
      </c>
      <c r="D37" s="214">
        <f>SUM(D38,D42,D48)</f>
        <v>48957.762293450127</v>
      </c>
      <c r="E37" s="214">
        <f>SUM(E38,E42,E48)</f>
        <v>50984.79</v>
      </c>
      <c r="F37" s="214">
        <f t="shared" ref="F37:T37" si="12">SUM(F38,F42,F48)</f>
        <v>48396.701931780473</v>
      </c>
      <c r="G37" s="214">
        <f t="shared" si="12"/>
        <v>663.61404207313024</v>
      </c>
      <c r="H37" s="214">
        <f t="shared" si="12"/>
        <v>0</v>
      </c>
      <c r="I37" s="214">
        <f t="shared" si="12"/>
        <v>0</v>
      </c>
      <c r="J37" s="214">
        <f t="shared" si="12"/>
        <v>0</v>
      </c>
      <c r="K37" s="214">
        <f t="shared" si="12"/>
        <v>0</v>
      </c>
      <c r="L37" s="214">
        <f t="shared" si="12"/>
        <v>1924.48</v>
      </c>
      <c r="M37" s="214">
        <f t="shared" si="12"/>
        <v>0</v>
      </c>
      <c r="N37" s="214">
        <f t="shared" si="12"/>
        <v>0</v>
      </c>
      <c r="O37" s="214">
        <f t="shared" si="12"/>
        <v>0</v>
      </c>
      <c r="P37" s="214">
        <f t="shared" si="12"/>
        <v>0</v>
      </c>
      <c r="Q37" s="214">
        <f t="shared" si="12"/>
        <v>0</v>
      </c>
      <c r="R37" s="214">
        <f t="shared" si="12"/>
        <v>0</v>
      </c>
      <c r="S37" s="218">
        <f t="shared" si="12"/>
        <v>51430.73</v>
      </c>
      <c r="T37" s="219">
        <f t="shared" si="12"/>
        <v>51258.839004578935</v>
      </c>
    </row>
    <row r="38" spans="1:20" x14ac:dyDescent="0.2">
      <c r="A38" s="173">
        <v>31</v>
      </c>
      <c r="B38" s="174" t="s">
        <v>5</v>
      </c>
      <c r="C38" s="234">
        <f t="shared" ref="C38" si="13">SUM(C39:C41)</f>
        <v>35473.090450593932</v>
      </c>
      <c r="D38" s="245">
        <f>SUM(D39:D41)</f>
        <v>36920.565399163846</v>
      </c>
      <c r="E38" s="230">
        <f>SUM(E39:E41)</f>
        <v>41130.79</v>
      </c>
      <c r="F38" s="229">
        <f t="shared" ref="F38" si="14">SUM(F39:F41)</f>
        <v>41130.79</v>
      </c>
      <c r="G38" s="229"/>
      <c r="H38" s="229"/>
      <c r="I38" s="229"/>
      <c r="J38" s="229"/>
      <c r="K38" s="229"/>
      <c r="L38" s="229">
        <f t="shared" ref="L38" si="15">SUM(L39:L41)</f>
        <v>0</v>
      </c>
      <c r="M38" s="229"/>
      <c r="N38" s="229"/>
      <c r="O38" s="229">
        <f t="shared" ref="O38:R38" si="16">SUM(O39:O41)</f>
        <v>0</v>
      </c>
      <c r="P38" s="229">
        <f t="shared" si="16"/>
        <v>0</v>
      </c>
      <c r="Q38" s="229">
        <f t="shared" si="16"/>
        <v>0</v>
      </c>
      <c r="R38" s="229">
        <f t="shared" si="16"/>
        <v>0</v>
      </c>
      <c r="S38" s="249">
        <f>SUM(S39:S41)</f>
        <v>41031.260000000009</v>
      </c>
      <c r="T38" s="250">
        <f>SUM(T39:T41)</f>
        <v>41117.529004578937</v>
      </c>
    </row>
    <row r="39" spans="1:20" x14ac:dyDescent="0.2">
      <c r="A39" s="176">
        <v>311</v>
      </c>
      <c r="B39" s="177" t="s">
        <v>6</v>
      </c>
      <c r="C39" s="237">
        <f>216027/7.5345</f>
        <v>28671.710133386419</v>
      </c>
      <c r="D39" s="238">
        <f>221775/7.5345</f>
        <v>29434.600836153691</v>
      </c>
      <c r="E39" s="239">
        <v>32782.53</v>
      </c>
      <c r="F39" s="240">
        <v>32782.53</v>
      </c>
      <c r="G39" s="240"/>
      <c r="H39" s="240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39">
        <v>32872.120000000003</v>
      </c>
      <c r="T39" s="241">
        <v>32948.44</v>
      </c>
    </row>
    <row r="40" spans="1:20" x14ac:dyDescent="0.2">
      <c r="A40" s="176">
        <v>312</v>
      </c>
      <c r="B40" s="177" t="s">
        <v>7</v>
      </c>
      <c r="C40" s="237">
        <f>15600/7.5345</f>
        <v>2070.4758112681661</v>
      </c>
      <c r="D40" s="238">
        <f>19600/7.5345</f>
        <v>2601.3670449266706</v>
      </c>
      <c r="E40" s="239">
        <v>2919.9</v>
      </c>
      <c r="F40" s="240">
        <v>2919.9</v>
      </c>
      <c r="G40" s="240"/>
      <c r="H40" s="240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39">
        <v>2734.09</v>
      </c>
      <c r="T40" s="241">
        <v>2734.09</v>
      </c>
    </row>
    <row r="41" spans="1:20" x14ac:dyDescent="0.2">
      <c r="A41" s="176">
        <v>313</v>
      </c>
      <c r="B41" s="177" t="s">
        <v>8</v>
      </c>
      <c r="C41" s="237">
        <f>35645/7.5345</f>
        <v>4730.9045059393457</v>
      </c>
      <c r="D41" s="238">
        <f>36803/7.5345</f>
        <v>4884.5975180834821</v>
      </c>
      <c r="E41" s="239">
        <v>5428.36</v>
      </c>
      <c r="F41" s="240">
        <v>5428.36</v>
      </c>
      <c r="G41" s="240"/>
      <c r="H41" s="240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39">
        <v>5425.05</v>
      </c>
      <c r="T41" s="241">
        <f>40950/7.5345</f>
        <v>5434.9990045789364</v>
      </c>
    </row>
    <row r="42" spans="1:20" x14ac:dyDescent="0.2">
      <c r="A42" s="173">
        <v>32</v>
      </c>
      <c r="B42" s="174" t="s">
        <v>9</v>
      </c>
      <c r="C42" s="234">
        <f>SUM(C43:C47)</f>
        <v>8378.2600039816843</v>
      </c>
      <c r="D42" s="245">
        <f>SUM(D43:D47)</f>
        <v>11851.384962505806</v>
      </c>
      <c r="E42" s="251">
        <f>SUM(E43:E47)</f>
        <v>9668.19</v>
      </c>
      <c r="F42" s="249">
        <f t="shared" ref="F42:G42" si="17">SUM(F43:F47)</f>
        <v>7080.0999999999995</v>
      </c>
      <c r="G42" s="249">
        <f t="shared" si="17"/>
        <v>663.61404207313024</v>
      </c>
      <c r="H42" s="249"/>
      <c r="I42" s="229"/>
      <c r="J42" s="229"/>
      <c r="K42" s="229"/>
      <c r="L42" s="229">
        <f t="shared" ref="L42" si="18">SUM(L43:L47)</f>
        <v>1924.48</v>
      </c>
      <c r="M42" s="229"/>
      <c r="N42" s="229"/>
      <c r="O42" s="229">
        <f t="shared" ref="O42:R42" si="19">SUM(O43:O47)</f>
        <v>0</v>
      </c>
      <c r="P42" s="229">
        <f t="shared" si="19"/>
        <v>0</v>
      </c>
      <c r="Q42" s="229">
        <f t="shared" si="19"/>
        <v>0</v>
      </c>
      <c r="R42" s="229">
        <f t="shared" si="19"/>
        <v>0</v>
      </c>
      <c r="S42" s="249">
        <f>SUM(S43:S47)</f>
        <v>10213.659999999998</v>
      </c>
      <c r="T42" s="250">
        <f>SUM(T43:T47)</f>
        <v>9955.5</v>
      </c>
    </row>
    <row r="43" spans="1:20" ht="19.5" customHeight="1" x14ac:dyDescent="0.2">
      <c r="A43" s="176">
        <v>321</v>
      </c>
      <c r="B43" s="177" t="s">
        <v>10</v>
      </c>
      <c r="C43" s="237">
        <f>21328/7.5345</f>
        <v>2830.7120578671443</v>
      </c>
      <c r="D43" s="242">
        <f>22776/7.5345</f>
        <v>3022.8946844515226</v>
      </c>
      <c r="E43" s="239">
        <v>3477.34</v>
      </c>
      <c r="F43" s="240">
        <v>2681</v>
      </c>
      <c r="G43" s="240"/>
      <c r="H43" s="240"/>
      <c r="I43" s="223"/>
      <c r="J43" s="223"/>
      <c r="K43" s="223"/>
      <c r="L43" s="223">
        <v>796.34</v>
      </c>
      <c r="M43" s="223"/>
      <c r="N43" s="223"/>
      <c r="O43" s="223"/>
      <c r="P43" s="223"/>
      <c r="Q43" s="223"/>
      <c r="R43" s="223"/>
      <c r="S43" s="239">
        <v>3517.15</v>
      </c>
      <c r="T43" s="241">
        <v>3490.61</v>
      </c>
    </row>
    <row r="44" spans="1:20" ht="18" x14ac:dyDescent="0.2">
      <c r="A44" s="176">
        <v>322</v>
      </c>
      <c r="B44" s="177" t="s">
        <v>11</v>
      </c>
      <c r="C44" s="237">
        <f>23339/7.5345</f>
        <v>3097.6176255889573</v>
      </c>
      <c r="D44" s="242">
        <f>20244.01/7.5345</f>
        <v>2686.8418607737735</v>
      </c>
      <c r="E44" s="239">
        <v>1873.38</v>
      </c>
      <c r="F44" s="240">
        <v>413.43</v>
      </c>
      <c r="G44" s="240">
        <f>5000/7.5345</f>
        <v>663.61404207313024</v>
      </c>
      <c r="H44" s="240"/>
      <c r="I44" s="223"/>
      <c r="J44" s="223"/>
      <c r="K44" s="223"/>
      <c r="L44" s="223">
        <v>796.34</v>
      </c>
      <c r="M44" s="223"/>
      <c r="N44" s="223"/>
      <c r="O44" s="223"/>
      <c r="P44" s="223"/>
      <c r="Q44" s="223"/>
      <c r="R44" s="223"/>
      <c r="S44" s="239">
        <v>2106.9699999999998</v>
      </c>
      <c r="T44" s="241">
        <v>1968.24</v>
      </c>
    </row>
    <row r="45" spans="1:20" x14ac:dyDescent="0.2">
      <c r="A45" s="176">
        <v>323</v>
      </c>
      <c r="B45" s="177" t="s">
        <v>12</v>
      </c>
      <c r="C45" s="237">
        <f>15479/7.5345</f>
        <v>2054.4163514499965</v>
      </c>
      <c r="D45" s="238">
        <f>39401.25/7.5345</f>
        <v>5229.4445550467844</v>
      </c>
      <c r="E45" s="239">
        <v>3404.34</v>
      </c>
      <c r="F45" s="240">
        <v>3271.62</v>
      </c>
      <c r="G45" s="240"/>
      <c r="H45" s="240"/>
      <c r="I45" s="223"/>
      <c r="J45" s="223"/>
      <c r="K45" s="223"/>
      <c r="L45" s="223">
        <v>132.72</v>
      </c>
      <c r="M45" s="223"/>
      <c r="N45" s="223"/>
      <c r="O45" s="223"/>
      <c r="P45" s="223"/>
      <c r="Q45" s="223"/>
      <c r="R45" s="223"/>
      <c r="S45" s="239">
        <v>3676.41</v>
      </c>
      <c r="T45" s="241">
        <v>3583.52</v>
      </c>
    </row>
    <row r="46" spans="1:20" ht="18" x14ac:dyDescent="0.2">
      <c r="A46" s="176">
        <v>324</v>
      </c>
      <c r="B46" s="177" t="s">
        <v>34</v>
      </c>
      <c r="C46" s="237">
        <f>0/7.5345</f>
        <v>0</v>
      </c>
      <c r="D46" s="238">
        <f>1500/7.5345</f>
        <v>199.08421262193906</v>
      </c>
      <c r="E46" s="239">
        <v>199.08</v>
      </c>
      <c r="F46" s="240"/>
      <c r="G46" s="240"/>
      <c r="H46" s="240"/>
      <c r="I46" s="223"/>
      <c r="J46" s="223"/>
      <c r="K46" s="223"/>
      <c r="L46" s="223">
        <v>199.08</v>
      </c>
      <c r="M46" s="223"/>
      <c r="N46" s="223"/>
      <c r="O46" s="223"/>
      <c r="P46" s="223"/>
      <c r="Q46" s="223"/>
      <c r="R46" s="223"/>
      <c r="S46" s="239">
        <v>199.08</v>
      </c>
      <c r="T46" s="241">
        <v>199.08</v>
      </c>
    </row>
    <row r="47" spans="1:20" x14ac:dyDescent="0.2">
      <c r="A47" s="176">
        <v>329</v>
      </c>
      <c r="B47" s="283" t="s">
        <v>36</v>
      </c>
      <c r="C47" s="237">
        <f>2980/7.5345</f>
        <v>395.51396907558563</v>
      </c>
      <c r="D47" s="252">
        <f>5373/7.5345</f>
        <v>713.11964961178569</v>
      </c>
      <c r="E47" s="239">
        <v>714.05</v>
      </c>
      <c r="F47" s="240">
        <v>714.05</v>
      </c>
      <c r="G47" s="240"/>
      <c r="H47" s="240"/>
      <c r="I47" s="229"/>
      <c r="J47" s="229"/>
      <c r="K47" s="229"/>
      <c r="L47" s="223"/>
      <c r="M47" s="223"/>
      <c r="N47" s="223"/>
      <c r="O47" s="229"/>
      <c r="P47" s="229"/>
      <c r="Q47" s="229"/>
      <c r="R47" s="229"/>
      <c r="S47" s="239">
        <v>714.05</v>
      </c>
      <c r="T47" s="241">
        <v>714.05</v>
      </c>
    </row>
    <row r="48" spans="1:20" x14ac:dyDescent="0.2">
      <c r="A48" s="173">
        <v>34</v>
      </c>
      <c r="B48" s="174" t="s">
        <v>13</v>
      </c>
      <c r="C48" s="234">
        <f>SUM(C49)</f>
        <v>155.28568584511248</v>
      </c>
      <c r="D48" s="245">
        <f>SUM(D49)</f>
        <v>185.81193178047647</v>
      </c>
      <c r="E48" s="230">
        <f>SUM(E49)</f>
        <v>185.81</v>
      </c>
      <c r="F48" s="229">
        <f>1400/7.5345</f>
        <v>185.81193178047647</v>
      </c>
      <c r="G48" s="229"/>
      <c r="H48" s="229"/>
      <c r="I48" s="229"/>
      <c r="J48" s="229"/>
      <c r="K48" s="229"/>
      <c r="L48" s="229">
        <f t="shared" ref="L48:R48" si="20">SUM(L49)</f>
        <v>0</v>
      </c>
      <c r="M48" s="229"/>
      <c r="N48" s="229"/>
      <c r="O48" s="229">
        <f t="shared" si="20"/>
        <v>0</v>
      </c>
      <c r="P48" s="229">
        <f t="shared" si="20"/>
        <v>0</v>
      </c>
      <c r="Q48" s="229">
        <f t="shared" si="20"/>
        <v>0</v>
      </c>
      <c r="R48" s="229">
        <f t="shared" si="20"/>
        <v>0</v>
      </c>
      <c r="S48" s="229">
        <v>185.81</v>
      </c>
      <c r="T48" s="243">
        <v>185.81</v>
      </c>
    </row>
    <row r="49" spans="1:20" x14ac:dyDescent="0.2">
      <c r="A49" s="176">
        <v>343</v>
      </c>
      <c r="B49" s="177" t="s">
        <v>14</v>
      </c>
      <c r="C49" s="237">
        <f>1170/7.5345</f>
        <v>155.28568584511248</v>
      </c>
      <c r="D49" s="238">
        <f>1400/7.5345</f>
        <v>185.81193178047647</v>
      </c>
      <c r="E49" s="225">
        <v>185.81</v>
      </c>
      <c r="F49" s="223">
        <f>1400/7.5345</f>
        <v>185.81193178047647</v>
      </c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>
        <v>185.81</v>
      </c>
      <c r="T49" s="244">
        <v>185.81</v>
      </c>
    </row>
    <row r="50" spans="1:20" ht="27" customHeight="1" x14ac:dyDescent="0.2">
      <c r="A50" s="348" t="s">
        <v>37</v>
      </c>
      <c r="B50" s="349"/>
      <c r="C50" s="216">
        <f>SUM(C51:C54)</f>
        <v>5905.1031919835414</v>
      </c>
      <c r="D50" s="216">
        <f>SUM(D51)</f>
        <v>7950.0962240361005</v>
      </c>
      <c r="E50" s="216">
        <f>SUM(E51)</f>
        <v>6556.5099999999993</v>
      </c>
      <c r="F50" s="216">
        <f t="shared" ref="F50:T50" si="21">SUM(F51)</f>
        <v>2707.55</v>
      </c>
      <c r="G50" s="216">
        <f t="shared" si="21"/>
        <v>0</v>
      </c>
      <c r="H50" s="216">
        <f t="shared" si="21"/>
        <v>0</v>
      </c>
      <c r="I50" s="216">
        <f t="shared" si="21"/>
        <v>0</v>
      </c>
      <c r="J50" s="216">
        <f t="shared" si="21"/>
        <v>0</v>
      </c>
      <c r="K50" s="216">
        <f t="shared" si="21"/>
        <v>0</v>
      </c>
      <c r="L50" s="216">
        <f t="shared" si="21"/>
        <v>265.45</v>
      </c>
      <c r="M50" s="216">
        <f t="shared" si="21"/>
        <v>0</v>
      </c>
      <c r="N50" s="216">
        <f t="shared" si="21"/>
        <v>0</v>
      </c>
      <c r="O50" s="216">
        <f t="shared" si="21"/>
        <v>3318.07</v>
      </c>
      <c r="P50" s="216">
        <f t="shared" si="21"/>
        <v>265.45</v>
      </c>
      <c r="Q50" s="216">
        <f t="shared" si="21"/>
        <v>0</v>
      </c>
      <c r="R50" s="216">
        <f t="shared" si="21"/>
        <v>0</v>
      </c>
      <c r="S50" s="216">
        <f t="shared" si="21"/>
        <v>5176.2</v>
      </c>
      <c r="T50" s="217">
        <f t="shared" si="21"/>
        <v>5176.2</v>
      </c>
    </row>
    <row r="51" spans="1:20" ht="27" x14ac:dyDescent="0.2">
      <c r="A51" s="173">
        <v>42</v>
      </c>
      <c r="B51" s="174" t="s">
        <v>28</v>
      </c>
      <c r="C51" s="234"/>
      <c r="D51" s="253">
        <f>SUM(D52:D54)</f>
        <v>7950.0962240361005</v>
      </c>
      <c r="E51" s="230">
        <f>SUM(E53:E54)</f>
        <v>6556.5099999999993</v>
      </c>
      <c r="F51" s="229">
        <f t="shared" ref="F51" si="22">SUM(F52:F54)</f>
        <v>2707.55</v>
      </c>
      <c r="G51" s="229"/>
      <c r="H51" s="229"/>
      <c r="I51" s="229"/>
      <c r="J51" s="229"/>
      <c r="K51" s="229"/>
      <c r="L51" s="229">
        <f t="shared" ref="L51" si="23">SUM(L52:L54)</f>
        <v>265.45</v>
      </c>
      <c r="M51" s="229"/>
      <c r="N51" s="229"/>
      <c r="O51" s="229">
        <f t="shared" ref="O51" si="24">SUM(O52:O54)</f>
        <v>3318.07</v>
      </c>
      <c r="P51" s="229">
        <f>SUM(P52:P54)</f>
        <v>265.45</v>
      </c>
      <c r="Q51" s="229">
        <f t="shared" ref="Q51:R51" si="25">SUM(Q52:Q54)</f>
        <v>0</v>
      </c>
      <c r="R51" s="229">
        <f t="shared" si="25"/>
        <v>0</v>
      </c>
      <c r="S51" s="229">
        <v>5176.2</v>
      </c>
      <c r="T51" s="243">
        <v>5176.2</v>
      </c>
    </row>
    <row r="52" spans="1:20" x14ac:dyDescent="0.2">
      <c r="A52" s="176">
        <v>422</v>
      </c>
      <c r="B52" s="177" t="s">
        <v>29</v>
      </c>
      <c r="C52" s="237">
        <f>5034/7.5345</f>
        <v>668.1266175592275</v>
      </c>
      <c r="D52" s="252">
        <f>17700/7.5345</f>
        <v>2349.1937089388812</v>
      </c>
      <c r="E52" s="225"/>
      <c r="F52" s="223">
        <f>0/7.5345</f>
        <v>0</v>
      </c>
      <c r="G52" s="223"/>
      <c r="H52" s="223"/>
      <c r="I52" s="223"/>
      <c r="J52" s="223"/>
      <c r="K52" s="223"/>
      <c r="L52" s="223"/>
      <c r="M52" s="223"/>
      <c r="N52" s="223"/>
      <c r="O52" s="229"/>
      <c r="P52" s="229"/>
      <c r="Q52" s="229"/>
      <c r="R52" s="229"/>
      <c r="S52" s="223"/>
      <c r="T52" s="244"/>
    </row>
    <row r="53" spans="1:20" ht="18" x14ac:dyDescent="0.2">
      <c r="A53" s="176">
        <v>424</v>
      </c>
      <c r="B53" s="177" t="s">
        <v>35</v>
      </c>
      <c r="C53" s="237">
        <f>39458/7.5345</f>
        <v>5236.9765744243141</v>
      </c>
      <c r="D53" s="252">
        <f>39000/7.5345</f>
        <v>5176.1895281704155</v>
      </c>
      <c r="E53" s="225">
        <v>5176.1899999999996</v>
      </c>
      <c r="F53" s="223">
        <v>1327.23</v>
      </c>
      <c r="G53" s="223"/>
      <c r="H53" s="223"/>
      <c r="I53" s="223"/>
      <c r="J53" s="223"/>
      <c r="K53" s="223"/>
      <c r="L53" s="223">
        <v>265.45</v>
      </c>
      <c r="M53" s="223"/>
      <c r="N53" s="223"/>
      <c r="O53" s="223">
        <v>3318.07</v>
      </c>
      <c r="P53" s="223">
        <v>265.45</v>
      </c>
      <c r="Q53" s="229"/>
      <c r="R53" s="229"/>
      <c r="S53" s="223">
        <v>5176.2</v>
      </c>
      <c r="T53" s="244">
        <v>5176.2</v>
      </c>
    </row>
    <row r="54" spans="1:20" ht="13.5" thickBot="1" x14ac:dyDescent="0.25">
      <c r="A54" s="187">
        <v>426</v>
      </c>
      <c r="B54" s="188" t="s">
        <v>27</v>
      </c>
      <c r="C54" s="254">
        <f>0/7.5345</f>
        <v>0</v>
      </c>
      <c r="D54" s="255">
        <f>3200/7.5345</f>
        <v>424.71298692680335</v>
      </c>
      <c r="E54" s="256">
        <v>1380.32</v>
      </c>
      <c r="F54" s="257">
        <v>1380.32</v>
      </c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8"/>
    </row>
    <row r="55" spans="1:20" x14ac:dyDescent="0.2">
      <c r="A55" s="192"/>
      <c r="B55" s="193"/>
      <c r="C55" s="211"/>
      <c r="D55" s="211"/>
      <c r="E55" s="194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48"/>
      <c r="T55" s="148"/>
    </row>
    <row r="56" spans="1:20" x14ac:dyDescent="0.2">
      <c r="A56" s="192"/>
      <c r="B56" s="193"/>
      <c r="C56" s="211"/>
      <c r="D56" s="211"/>
      <c r="E56" s="194"/>
      <c r="F56" s="195"/>
      <c r="G56" s="195"/>
      <c r="H56" s="195"/>
      <c r="I56" s="195"/>
      <c r="J56" s="195" t="s">
        <v>134</v>
      </c>
      <c r="K56" s="195"/>
      <c r="L56" s="195"/>
      <c r="M56" s="195"/>
      <c r="N56" s="195"/>
      <c r="O56" s="195"/>
      <c r="P56" s="195"/>
      <c r="Q56" s="195"/>
      <c r="R56" s="195"/>
      <c r="S56" s="148"/>
      <c r="T56" s="148"/>
    </row>
    <row r="57" spans="1:20" x14ac:dyDescent="0.2">
      <c r="A57" s="192"/>
      <c r="B57" s="193"/>
      <c r="C57" s="211"/>
      <c r="D57" s="211"/>
      <c r="E57" s="194"/>
      <c r="F57" s="195"/>
      <c r="G57" s="195"/>
      <c r="H57" s="195"/>
      <c r="I57" s="195"/>
      <c r="J57" s="195" t="s">
        <v>135</v>
      </c>
      <c r="K57" s="195"/>
      <c r="L57" s="195"/>
      <c r="M57" s="195"/>
      <c r="N57" s="195"/>
      <c r="O57" s="195"/>
      <c r="P57" s="195"/>
      <c r="Q57" s="195"/>
      <c r="R57" s="195"/>
      <c r="S57" s="148"/>
      <c r="T57" s="148"/>
    </row>
    <row r="58" spans="1:20" x14ac:dyDescent="0.2">
      <c r="A58" s="192"/>
      <c r="B58" s="193"/>
      <c r="C58" s="211"/>
      <c r="D58" s="211"/>
      <c r="E58" s="194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48"/>
      <c r="T58" s="148"/>
    </row>
    <row r="59" spans="1:20" x14ac:dyDescent="0.2">
      <c r="A59" s="192"/>
      <c r="B59" s="193"/>
      <c r="C59" s="211"/>
      <c r="D59" s="211"/>
      <c r="E59" s="194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48"/>
      <c r="T59" s="148"/>
    </row>
    <row r="60" spans="1:20" x14ac:dyDescent="0.2">
      <c r="A60" s="192"/>
      <c r="B60" s="193"/>
      <c r="C60" s="211"/>
      <c r="D60" s="211"/>
      <c r="E60" s="194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48"/>
      <c r="T60" s="148"/>
    </row>
    <row r="61" spans="1:20" x14ac:dyDescent="0.2">
      <c r="A61" s="192"/>
      <c r="B61" s="193"/>
      <c r="C61" s="211"/>
      <c r="D61" s="211"/>
      <c r="E61" s="194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  <c r="S61" s="148"/>
      <c r="T61" s="148"/>
    </row>
    <row r="62" spans="1:20" x14ac:dyDescent="0.2">
      <c r="A62" s="192"/>
      <c r="B62" s="193"/>
      <c r="C62" s="211"/>
      <c r="D62" s="211"/>
      <c r="E62" s="194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48"/>
      <c r="T62" s="148"/>
    </row>
    <row r="63" spans="1:20" x14ac:dyDescent="0.2">
      <c r="A63" s="192"/>
      <c r="B63" s="193"/>
      <c r="C63" s="211"/>
      <c r="D63" s="211"/>
      <c r="E63" s="194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48"/>
      <c r="T63" s="148"/>
    </row>
    <row r="64" spans="1:20" x14ac:dyDescent="0.2">
      <c r="A64" s="192"/>
      <c r="B64" s="193"/>
      <c r="C64" s="211"/>
      <c r="D64" s="211"/>
      <c r="E64" s="194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48"/>
      <c r="T64" s="148"/>
    </row>
    <row r="65" spans="1:20" x14ac:dyDescent="0.2">
      <c r="A65" s="192"/>
      <c r="B65" s="193"/>
      <c r="C65" s="211"/>
      <c r="D65" s="211"/>
      <c r="E65" s="194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48"/>
      <c r="T65" s="148"/>
    </row>
    <row r="66" spans="1:20" x14ac:dyDescent="0.2">
      <c r="A66" s="192"/>
      <c r="B66" s="193"/>
      <c r="C66" s="211"/>
      <c r="D66" s="211"/>
      <c r="E66" s="194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5"/>
      <c r="S66" s="148"/>
      <c r="T66" s="148"/>
    </row>
    <row r="67" spans="1:20" x14ac:dyDescent="0.2">
      <c r="A67" s="192"/>
      <c r="B67" s="193"/>
      <c r="C67" s="211"/>
      <c r="D67" s="211"/>
      <c r="E67" s="194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  <c r="R67" s="195"/>
      <c r="S67" s="148"/>
      <c r="T67" s="148"/>
    </row>
    <row r="68" spans="1:20" x14ac:dyDescent="0.2">
      <c r="A68" s="192"/>
      <c r="B68" s="193"/>
      <c r="C68" s="211"/>
      <c r="D68" s="211"/>
      <c r="E68" s="194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  <c r="R68" s="195"/>
      <c r="S68" s="148"/>
      <c r="T68" s="148"/>
    </row>
    <row r="69" spans="1:20" x14ac:dyDescent="0.2">
      <c r="A69" s="192"/>
      <c r="B69" s="193"/>
      <c r="C69" s="211"/>
      <c r="D69" s="211"/>
      <c r="E69" s="194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  <c r="R69" s="195"/>
      <c r="S69" s="148"/>
      <c r="T69" s="148"/>
    </row>
    <row r="70" spans="1:20" x14ac:dyDescent="0.2">
      <c r="A70" s="192"/>
      <c r="B70" s="193"/>
      <c r="C70" s="211"/>
      <c r="D70" s="211"/>
      <c r="E70" s="194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48"/>
      <c r="T70" s="148"/>
    </row>
    <row r="71" spans="1:20" x14ac:dyDescent="0.2">
      <c r="A71" s="192"/>
      <c r="B71" s="193"/>
      <c r="C71" s="211"/>
      <c r="D71" s="211"/>
      <c r="E71" s="194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48"/>
      <c r="T71" s="148"/>
    </row>
    <row r="72" spans="1:20" x14ac:dyDescent="0.2">
      <c r="A72" s="192"/>
      <c r="B72" s="193"/>
      <c r="C72" s="211"/>
      <c r="D72" s="211"/>
      <c r="E72" s="194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  <c r="S72" s="148"/>
      <c r="T72" s="148"/>
    </row>
  </sheetData>
  <mergeCells count="13">
    <mergeCell ref="A50:B50"/>
    <mergeCell ref="A16:B16"/>
    <mergeCell ref="A18:B18"/>
    <mergeCell ref="A19:B19"/>
    <mergeCell ref="A31:B31"/>
    <mergeCell ref="A36:B36"/>
    <mergeCell ref="A37:B37"/>
    <mergeCell ref="A15:B15"/>
    <mergeCell ref="A7:J7"/>
    <mergeCell ref="A8:R8"/>
    <mergeCell ref="A10:N10"/>
    <mergeCell ref="A11:N11"/>
    <mergeCell ref="A12:T12"/>
  </mergeCells>
  <pageMargins left="0.11811023622047245" right="0.11811023622047245" top="0.35433070866141736" bottom="0.15748031496062992" header="0.11811023622047245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="120" zoomScaleNormal="120" workbookViewId="0">
      <selection activeCell="C28" sqref="C28"/>
    </sheetView>
  </sheetViews>
  <sheetFormatPr defaultColWidth="11.42578125" defaultRowHeight="12.75" x14ac:dyDescent="0.2"/>
  <cols>
    <col min="1" max="1" width="6.7109375" style="3" customWidth="1"/>
    <col min="2" max="2" width="22.85546875" style="4" customWidth="1"/>
    <col min="3" max="3" width="9.5703125" style="26" customWidth="1"/>
    <col min="4" max="4" width="10.5703125" style="5" customWidth="1"/>
    <col min="5" max="5" width="9.140625" style="5" customWidth="1"/>
    <col min="6" max="6" width="8.85546875" style="5" customWidth="1"/>
    <col min="7" max="7" width="9.140625" style="5" customWidth="1"/>
    <col min="8" max="8" width="8" style="5" customWidth="1"/>
    <col min="9" max="243" width="11.42578125" style="39"/>
    <col min="244" max="244" width="12.5703125" style="39" customWidth="1"/>
    <col min="245" max="245" width="34.28515625" style="39" customWidth="1"/>
    <col min="246" max="246" width="20.28515625" style="39" customWidth="1"/>
    <col min="247" max="253" width="13.7109375" style="39" customWidth="1"/>
    <col min="254" max="499" width="11.42578125" style="39"/>
    <col min="500" max="500" width="12.5703125" style="39" customWidth="1"/>
    <col min="501" max="501" width="34.28515625" style="39" customWidth="1"/>
    <col min="502" max="502" width="20.28515625" style="39" customWidth="1"/>
    <col min="503" max="509" width="13.7109375" style="39" customWidth="1"/>
    <col min="510" max="755" width="11.42578125" style="39"/>
    <col min="756" max="756" width="12.5703125" style="39" customWidth="1"/>
    <col min="757" max="757" width="34.28515625" style="39" customWidth="1"/>
    <col min="758" max="758" width="20.28515625" style="39" customWidth="1"/>
    <col min="759" max="765" width="13.7109375" style="39" customWidth="1"/>
    <col min="766" max="1011" width="11.42578125" style="39"/>
    <col min="1012" max="1012" width="12.5703125" style="39" customWidth="1"/>
    <col min="1013" max="1013" width="34.28515625" style="39" customWidth="1"/>
    <col min="1014" max="1014" width="20.28515625" style="39" customWidth="1"/>
    <col min="1015" max="1021" width="13.7109375" style="39" customWidth="1"/>
    <col min="1022" max="1267" width="11.42578125" style="39"/>
    <col min="1268" max="1268" width="12.5703125" style="39" customWidth="1"/>
    <col min="1269" max="1269" width="34.28515625" style="39" customWidth="1"/>
    <col min="1270" max="1270" width="20.28515625" style="39" customWidth="1"/>
    <col min="1271" max="1277" width="13.7109375" style="39" customWidth="1"/>
    <col min="1278" max="1523" width="11.42578125" style="39"/>
    <col min="1524" max="1524" width="12.5703125" style="39" customWidth="1"/>
    <col min="1525" max="1525" width="34.28515625" style="39" customWidth="1"/>
    <col min="1526" max="1526" width="20.28515625" style="39" customWidth="1"/>
    <col min="1527" max="1533" width="13.7109375" style="39" customWidth="1"/>
    <col min="1534" max="1779" width="11.42578125" style="39"/>
    <col min="1780" max="1780" width="12.5703125" style="39" customWidth="1"/>
    <col min="1781" max="1781" width="34.28515625" style="39" customWidth="1"/>
    <col min="1782" max="1782" width="20.28515625" style="39" customWidth="1"/>
    <col min="1783" max="1789" width="13.7109375" style="39" customWidth="1"/>
    <col min="1790" max="2035" width="11.42578125" style="39"/>
    <col min="2036" max="2036" width="12.5703125" style="39" customWidth="1"/>
    <col min="2037" max="2037" width="34.28515625" style="39" customWidth="1"/>
    <col min="2038" max="2038" width="20.28515625" style="39" customWidth="1"/>
    <col min="2039" max="2045" width="13.7109375" style="39" customWidth="1"/>
    <col min="2046" max="2291" width="11.42578125" style="39"/>
    <col min="2292" max="2292" width="12.5703125" style="39" customWidth="1"/>
    <col min="2293" max="2293" width="34.28515625" style="39" customWidth="1"/>
    <col min="2294" max="2294" width="20.28515625" style="39" customWidth="1"/>
    <col min="2295" max="2301" width="13.7109375" style="39" customWidth="1"/>
    <col min="2302" max="2547" width="11.42578125" style="39"/>
    <col min="2548" max="2548" width="12.5703125" style="39" customWidth="1"/>
    <col min="2549" max="2549" width="34.28515625" style="39" customWidth="1"/>
    <col min="2550" max="2550" width="20.28515625" style="39" customWidth="1"/>
    <col min="2551" max="2557" width="13.7109375" style="39" customWidth="1"/>
    <col min="2558" max="2803" width="11.42578125" style="39"/>
    <col min="2804" max="2804" width="12.5703125" style="39" customWidth="1"/>
    <col min="2805" max="2805" width="34.28515625" style="39" customWidth="1"/>
    <col min="2806" max="2806" width="20.28515625" style="39" customWidth="1"/>
    <col min="2807" max="2813" width="13.7109375" style="39" customWidth="1"/>
    <col min="2814" max="3059" width="11.42578125" style="39"/>
    <col min="3060" max="3060" width="12.5703125" style="39" customWidth="1"/>
    <col min="3061" max="3061" width="34.28515625" style="39" customWidth="1"/>
    <col min="3062" max="3062" width="20.28515625" style="39" customWidth="1"/>
    <col min="3063" max="3069" width="13.7109375" style="39" customWidth="1"/>
    <col min="3070" max="3315" width="11.42578125" style="39"/>
    <col min="3316" max="3316" width="12.5703125" style="39" customWidth="1"/>
    <col min="3317" max="3317" width="34.28515625" style="39" customWidth="1"/>
    <col min="3318" max="3318" width="20.28515625" style="39" customWidth="1"/>
    <col min="3319" max="3325" width="13.7109375" style="39" customWidth="1"/>
    <col min="3326" max="3571" width="11.42578125" style="39"/>
    <col min="3572" max="3572" width="12.5703125" style="39" customWidth="1"/>
    <col min="3573" max="3573" width="34.28515625" style="39" customWidth="1"/>
    <col min="3574" max="3574" width="20.28515625" style="39" customWidth="1"/>
    <col min="3575" max="3581" width="13.7109375" style="39" customWidth="1"/>
    <col min="3582" max="3827" width="11.42578125" style="39"/>
    <col min="3828" max="3828" width="12.5703125" style="39" customWidth="1"/>
    <col min="3829" max="3829" width="34.28515625" style="39" customWidth="1"/>
    <col min="3830" max="3830" width="20.28515625" style="39" customWidth="1"/>
    <col min="3831" max="3837" width="13.7109375" style="39" customWidth="1"/>
    <col min="3838" max="4083" width="11.42578125" style="39"/>
    <col min="4084" max="4084" width="12.5703125" style="39" customWidth="1"/>
    <col min="4085" max="4085" width="34.28515625" style="39" customWidth="1"/>
    <col min="4086" max="4086" width="20.28515625" style="39" customWidth="1"/>
    <col min="4087" max="4093" width="13.7109375" style="39" customWidth="1"/>
    <col min="4094" max="4339" width="11.42578125" style="39"/>
    <col min="4340" max="4340" width="12.5703125" style="39" customWidth="1"/>
    <col min="4341" max="4341" width="34.28515625" style="39" customWidth="1"/>
    <col min="4342" max="4342" width="20.28515625" style="39" customWidth="1"/>
    <col min="4343" max="4349" width="13.7109375" style="39" customWidth="1"/>
    <col min="4350" max="4595" width="11.42578125" style="39"/>
    <col min="4596" max="4596" width="12.5703125" style="39" customWidth="1"/>
    <col min="4597" max="4597" width="34.28515625" style="39" customWidth="1"/>
    <col min="4598" max="4598" width="20.28515625" style="39" customWidth="1"/>
    <col min="4599" max="4605" width="13.7109375" style="39" customWidth="1"/>
    <col min="4606" max="4851" width="11.42578125" style="39"/>
    <col min="4852" max="4852" width="12.5703125" style="39" customWidth="1"/>
    <col min="4853" max="4853" width="34.28515625" style="39" customWidth="1"/>
    <col min="4854" max="4854" width="20.28515625" style="39" customWidth="1"/>
    <col min="4855" max="4861" width="13.7109375" style="39" customWidth="1"/>
    <col min="4862" max="5107" width="11.42578125" style="39"/>
    <col min="5108" max="5108" width="12.5703125" style="39" customWidth="1"/>
    <col min="5109" max="5109" width="34.28515625" style="39" customWidth="1"/>
    <col min="5110" max="5110" width="20.28515625" style="39" customWidth="1"/>
    <col min="5111" max="5117" width="13.7109375" style="39" customWidth="1"/>
    <col min="5118" max="5363" width="11.42578125" style="39"/>
    <col min="5364" max="5364" width="12.5703125" style="39" customWidth="1"/>
    <col min="5365" max="5365" width="34.28515625" style="39" customWidth="1"/>
    <col min="5366" max="5366" width="20.28515625" style="39" customWidth="1"/>
    <col min="5367" max="5373" width="13.7109375" style="39" customWidth="1"/>
    <col min="5374" max="5619" width="11.42578125" style="39"/>
    <col min="5620" max="5620" width="12.5703125" style="39" customWidth="1"/>
    <col min="5621" max="5621" width="34.28515625" style="39" customWidth="1"/>
    <col min="5622" max="5622" width="20.28515625" style="39" customWidth="1"/>
    <col min="5623" max="5629" width="13.7109375" style="39" customWidth="1"/>
    <col min="5630" max="5875" width="11.42578125" style="39"/>
    <col min="5876" max="5876" width="12.5703125" style="39" customWidth="1"/>
    <col min="5877" max="5877" width="34.28515625" style="39" customWidth="1"/>
    <col min="5878" max="5878" width="20.28515625" style="39" customWidth="1"/>
    <col min="5879" max="5885" width="13.7109375" style="39" customWidth="1"/>
    <col min="5886" max="6131" width="11.42578125" style="39"/>
    <col min="6132" max="6132" width="12.5703125" style="39" customWidth="1"/>
    <col min="6133" max="6133" width="34.28515625" style="39" customWidth="1"/>
    <col min="6134" max="6134" width="20.28515625" style="39" customWidth="1"/>
    <col min="6135" max="6141" width="13.7109375" style="39" customWidth="1"/>
    <col min="6142" max="6387" width="11.42578125" style="39"/>
    <col min="6388" max="6388" width="12.5703125" style="39" customWidth="1"/>
    <col min="6389" max="6389" width="34.28515625" style="39" customWidth="1"/>
    <col min="6390" max="6390" width="20.28515625" style="39" customWidth="1"/>
    <col min="6391" max="6397" width="13.7109375" style="39" customWidth="1"/>
    <col min="6398" max="6643" width="11.42578125" style="39"/>
    <col min="6644" max="6644" width="12.5703125" style="39" customWidth="1"/>
    <col min="6645" max="6645" width="34.28515625" style="39" customWidth="1"/>
    <col min="6646" max="6646" width="20.28515625" style="39" customWidth="1"/>
    <col min="6647" max="6653" width="13.7109375" style="39" customWidth="1"/>
    <col min="6654" max="6899" width="11.42578125" style="39"/>
    <col min="6900" max="6900" width="12.5703125" style="39" customWidth="1"/>
    <col min="6901" max="6901" width="34.28515625" style="39" customWidth="1"/>
    <col min="6902" max="6902" width="20.28515625" style="39" customWidth="1"/>
    <col min="6903" max="6909" width="13.7109375" style="39" customWidth="1"/>
    <col min="6910" max="7155" width="11.42578125" style="39"/>
    <col min="7156" max="7156" width="12.5703125" style="39" customWidth="1"/>
    <col min="7157" max="7157" width="34.28515625" style="39" customWidth="1"/>
    <col min="7158" max="7158" width="20.28515625" style="39" customWidth="1"/>
    <col min="7159" max="7165" width="13.7109375" style="39" customWidth="1"/>
    <col min="7166" max="7411" width="11.42578125" style="39"/>
    <col min="7412" max="7412" width="12.5703125" style="39" customWidth="1"/>
    <col min="7413" max="7413" width="34.28515625" style="39" customWidth="1"/>
    <col min="7414" max="7414" width="20.28515625" style="39" customWidth="1"/>
    <col min="7415" max="7421" width="13.7109375" style="39" customWidth="1"/>
    <col min="7422" max="7667" width="11.42578125" style="39"/>
    <col min="7668" max="7668" width="12.5703125" style="39" customWidth="1"/>
    <col min="7669" max="7669" width="34.28515625" style="39" customWidth="1"/>
    <col min="7670" max="7670" width="20.28515625" style="39" customWidth="1"/>
    <col min="7671" max="7677" width="13.7109375" style="39" customWidth="1"/>
    <col min="7678" max="7923" width="11.42578125" style="39"/>
    <col min="7924" max="7924" width="12.5703125" style="39" customWidth="1"/>
    <col min="7925" max="7925" width="34.28515625" style="39" customWidth="1"/>
    <col min="7926" max="7926" width="20.28515625" style="39" customWidth="1"/>
    <col min="7927" max="7933" width="13.7109375" style="39" customWidth="1"/>
    <col min="7934" max="8179" width="11.42578125" style="39"/>
    <col min="8180" max="8180" width="12.5703125" style="39" customWidth="1"/>
    <col min="8181" max="8181" width="34.28515625" style="39" customWidth="1"/>
    <col min="8182" max="8182" width="20.28515625" style="39" customWidth="1"/>
    <col min="8183" max="8189" width="13.7109375" style="39" customWidth="1"/>
    <col min="8190" max="8435" width="11.42578125" style="39"/>
    <col min="8436" max="8436" width="12.5703125" style="39" customWidth="1"/>
    <col min="8437" max="8437" width="34.28515625" style="39" customWidth="1"/>
    <col min="8438" max="8438" width="20.28515625" style="39" customWidth="1"/>
    <col min="8439" max="8445" width="13.7109375" style="39" customWidth="1"/>
    <col min="8446" max="8691" width="11.42578125" style="39"/>
    <col min="8692" max="8692" width="12.5703125" style="39" customWidth="1"/>
    <col min="8693" max="8693" width="34.28515625" style="39" customWidth="1"/>
    <col min="8694" max="8694" width="20.28515625" style="39" customWidth="1"/>
    <col min="8695" max="8701" width="13.7109375" style="39" customWidth="1"/>
    <col min="8702" max="8947" width="11.42578125" style="39"/>
    <col min="8948" max="8948" width="12.5703125" style="39" customWidth="1"/>
    <col min="8949" max="8949" width="34.28515625" style="39" customWidth="1"/>
    <col min="8950" max="8950" width="20.28515625" style="39" customWidth="1"/>
    <col min="8951" max="8957" width="13.7109375" style="39" customWidth="1"/>
    <col min="8958" max="9203" width="11.42578125" style="39"/>
    <col min="9204" max="9204" width="12.5703125" style="39" customWidth="1"/>
    <col min="9205" max="9205" width="34.28515625" style="39" customWidth="1"/>
    <col min="9206" max="9206" width="20.28515625" style="39" customWidth="1"/>
    <col min="9207" max="9213" width="13.7109375" style="39" customWidth="1"/>
    <col min="9214" max="9459" width="11.42578125" style="39"/>
    <col min="9460" max="9460" width="12.5703125" style="39" customWidth="1"/>
    <col min="9461" max="9461" width="34.28515625" style="39" customWidth="1"/>
    <col min="9462" max="9462" width="20.28515625" style="39" customWidth="1"/>
    <col min="9463" max="9469" width="13.7109375" style="39" customWidth="1"/>
    <col min="9470" max="9715" width="11.42578125" style="39"/>
    <col min="9716" max="9716" width="12.5703125" style="39" customWidth="1"/>
    <col min="9717" max="9717" width="34.28515625" style="39" customWidth="1"/>
    <col min="9718" max="9718" width="20.28515625" style="39" customWidth="1"/>
    <col min="9719" max="9725" width="13.7109375" style="39" customWidth="1"/>
    <col min="9726" max="9971" width="11.42578125" style="39"/>
    <col min="9972" max="9972" width="12.5703125" style="39" customWidth="1"/>
    <col min="9973" max="9973" width="34.28515625" style="39" customWidth="1"/>
    <col min="9974" max="9974" width="20.28515625" style="39" customWidth="1"/>
    <col min="9975" max="9981" width="13.7109375" style="39" customWidth="1"/>
    <col min="9982" max="10227" width="11.42578125" style="39"/>
    <col min="10228" max="10228" width="12.5703125" style="39" customWidth="1"/>
    <col min="10229" max="10229" width="34.28515625" style="39" customWidth="1"/>
    <col min="10230" max="10230" width="20.28515625" style="39" customWidth="1"/>
    <col min="10231" max="10237" width="13.7109375" style="39" customWidth="1"/>
    <col min="10238" max="10483" width="11.42578125" style="39"/>
    <col min="10484" max="10484" width="12.5703125" style="39" customWidth="1"/>
    <col min="10485" max="10485" width="34.28515625" style="39" customWidth="1"/>
    <col min="10486" max="10486" width="20.28515625" style="39" customWidth="1"/>
    <col min="10487" max="10493" width="13.7109375" style="39" customWidth="1"/>
    <col min="10494" max="10739" width="11.42578125" style="39"/>
    <col min="10740" max="10740" width="12.5703125" style="39" customWidth="1"/>
    <col min="10741" max="10741" width="34.28515625" style="39" customWidth="1"/>
    <col min="10742" max="10742" width="20.28515625" style="39" customWidth="1"/>
    <col min="10743" max="10749" width="13.7109375" style="39" customWidth="1"/>
    <col min="10750" max="10995" width="11.42578125" style="39"/>
    <col min="10996" max="10996" width="12.5703125" style="39" customWidth="1"/>
    <col min="10997" max="10997" width="34.28515625" style="39" customWidth="1"/>
    <col min="10998" max="10998" width="20.28515625" style="39" customWidth="1"/>
    <col min="10999" max="11005" width="13.7109375" style="39" customWidth="1"/>
    <col min="11006" max="11251" width="11.42578125" style="39"/>
    <col min="11252" max="11252" width="12.5703125" style="39" customWidth="1"/>
    <col min="11253" max="11253" width="34.28515625" style="39" customWidth="1"/>
    <col min="11254" max="11254" width="20.28515625" style="39" customWidth="1"/>
    <col min="11255" max="11261" width="13.7109375" style="39" customWidth="1"/>
    <col min="11262" max="11507" width="11.42578125" style="39"/>
    <col min="11508" max="11508" width="12.5703125" style="39" customWidth="1"/>
    <col min="11509" max="11509" width="34.28515625" style="39" customWidth="1"/>
    <col min="11510" max="11510" width="20.28515625" style="39" customWidth="1"/>
    <col min="11511" max="11517" width="13.7109375" style="39" customWidth="1"/>
    <col min="11518" max="11763" width="11.42578125" style="39"/>
    <col min="11764" max="11764" width="12.5703125" style="39" customWidth="1"/>
    <col min="11765" max="11765" width="34.28515625" style="39" customWidth="1"/>
    <col min="11766" max="11766" width="20.28515625" style="39" customWidth="1"/>
    <col min="11767" max="11773" width="13.7109375" style="39" customWidth="1"/>
    <col min="11774" max="12019" width="11.42578125" style="39"/>
    <col min="12020" max="12020" width="12.5703125" style="39" customWidth="1"/>
    <col min="12021" max="12021" width="34.28515625" style="39" customWidth="1"/>
    <col min="12022" max="12022" width="20.28515625" style="39" customWidth="1"/>
    <col min="12023" max="12029" width="13.7109375" style="39" customWidth="1"/>
    <col min="12030" max="12275" width="11.42578125" style="39"/>
    <col min="12276" max="12276" width="12.5703125" style="39" customWidth="1"/>
    <col min="12277" max="12277" width="34.28515625" style="39" customWidth="1"/>
    <col min="12278" max="12278" width="20.28515625" style="39" customWidth="1"/>
    <col min="12279" max="12285" width="13.7109375" style="39" customWidth="1"/>
    <col min="12286" max="12531" width="11.42578125" style="39"/>
    <col min="12532" max="12532" width="12.5703125" style="39" customWidth="1"/>
    <col min="12533" max="12533" width="34.28515625" style="39" customWidth="1"/>
    <col min="12534" max="12534" width="20.28515625" style="39" customWidth="1"/>
    <col min="12535" max="12541" width="13.7109375" style="39" customWidth="1"/>
    <col min="12542" max="12787" width="11.42578125" style="39"/>
    <col min="12788" max="12788" width="12.5703125" style="39" customWidth="1"/>
    <col min="12789" max="12789" width="34.28515625" style="39" customWidth="1"/>
    <col min="12790" max="12790" width="20.28515625" style="39" customWidth="1"/>
    <col min="12791" max="12797" width="13.7109375" style="39" customWidth="1"/>
    <col min="12798" max="13043" width="11.42578125" style="39"/>
    <col min="13044" max="13044" width="12.5703125" style="39" customWidth="1"/>
    <col min="13045" max="13045" width="34.28515625" style="39" customWidth="1"/>
    <col min="13046" max="13046" width="20.28515625" style="39" customWidth="1"/>
    <col min="13047" max="13053" width="13.7109375" style="39" customWidth="1"/>
    <col min="13054" max="13299" width="11.42578125" style="39"/>
    <col min="13300" max="13300" width="12.5703125" style="39" customWidth="1"/>
    <col min="13301" max="13301" width="34.28515625" style="39" customWidth="1"/>
    <col min="13302" max="13302" width="20.28515625" style="39" customWidth="1"/>
    <col min="13303" max="13309" width="13.7109375" style="39" customWidth="1"/>
    <col min="13310" max="13555" width="11.42578125" style="39"/>
    <col min="13556" max="13556" width="12.5703125" style="39" customWidth="1"/>
    <col min="13557" max="13557" width="34.28515625" style="39" customWidth="1"/>
    <col min="13558" max="13558" width="20.28515625" style="39" customWidth="1"/>
    <col min="13559" max="13565" width="13.7109375" style="39" customWidth="1"/>
    <col min="13566" max="13811" width="11.42578125" style="39"/>
    <col min="13812" max="13812" width="12.5703125" style="39" customWidth="1"/>
    <col min="13813" max="13813" width="34.28515625" style="39" customWidth="1"/>
    <col min="13814" max="13814" width="20.28515625" style="39" customWidth="1"/>
    <col min="13815" max="13821" width="13.7109375" style="39" customWidth="1"/>
    <col min="13822" max="14067" width="11.42578125" style="39"/>
    <col min="14068" max="14068" width="12.5703125" style="39" customWidth="1"/>
    <col min="14069" max="14069" width="34.28515625" style="39" customWidth="1"/>
    <col min="14070" max="14070" width="20.28515625" style="39" customWidth="1"/>
    <col min="14071" max="14077" width="13.7109375" style="39" customWidth="1"/>
    <col min="14078" max="14323" width="11.42578125" style="39"/>
    <col min="14324" max="14324" width="12.5703125" style="39" customWidth="1"/>
    <col min="14325" max="14325" width="34.28515625" style="39" customWidth="1"/>
    <col min="14326" max="14326" width="20.28515625" style="39" customWidth="1"/>
    <col min="14327" max="14333" width="13.7109375" style="39" customWidth="1"/>
    <col min="14334" max="14579" width="11.42578125" style="39"/>
    <col min="14580" max="14580" width="12.5703125" style="39" customWidth="1"/>
    <col min="14581" max="14581" width="34.28515625" style="39" customWidth="1"/>
    <col min="14582" max="14582" width="20.28515625" style="39" customWidth="1"/>
    <col min="14583" max="14589" width="13.7109375" style="39" customWidth="1"/>
    <col min="14590" max="14835" width="11.42578125" style="39"/>
    <col min="14836" max="14836" width="12.5703125" style="39" customWidth="1"/>
    <col min="14837" max="14837" width="34.28515625" style="39" customWidth="1"/>
    <col min="14838" max="14838" width="20.28515625" style="39" customWidth="1"/>
    <col min="14839" max="14845" width="13.7109375" style="39" customWidth="1"/>
    <col min="14846" max="15091" width="11.42578125" style="39"/>
    <col min="15092" max="15092" width="12.5703125" style="39" customWidth="1"/>
    <col min="15093" max="15093" width="34.28515625" style="39" customWidth="1"/>
    <col min="15094" max="15094" width="20.28515625" style="39" customWidth="1"/>
    <col min="15095" max="15101" width="13.7109375" style="39" customWidth="1"/>
    <col min="15102" max="15347" width="11.42578125" style="39"/>
    <col min="15348" max="15348" width="12.5703125" style="39" customWidth="1"/>
    <col min="15349" max="15349" width="34.28515625" style="39" customWidth="1"/>
    <col min="15350" max="15350" width="20.28515625" style="39" customWidth="1"/>
    <col min="15351" max="15357" width="13.7109375" style="39" customWidth="1"/>
    <col min="15358" max="15603" width="11.42578125" style="39"/>
    <col min="15604" max="15604" width="12.5703125" style="39" customWidth="1"/>
    <col min="15605" max="15605" width="34.28515625" style="39" customWidth="1"/>
    <col min="15606" max="15606" width="20.28515625" style="39" customWidth="1"/>
    <col min="15607" max="15613" width="13.7109375" style="39" customWidth="1"/>
    <col min="15614" max="15859" width="11.42578125" style="39"/>
    <col min="15860" max="15860" width="12.5703125" style="39" customWidth="1"/>
    <col min="15861" max="15861" width="34.28515625" style="39" customWidth="1"/>
    <col min="15862" max="15862" width="20.28515625" style="39" customWidth="1"/>
    <col min="15863" max="15869" width="13.7109375" style="39" customWidth="1"/>
    <col min="15870" max="16115" width="11.42578125" style="39"/>
    <col min="16116" max="16116" width="12.5703125" style="39" customWidth="1"/>
    <col min="16117" max="16117" width="34.28515625" style="39" customWidth="1"/>
    <col min="16118" max="16118" width="20.28515625" style="39" customWidth="1"/>
    <col min="16119" max="16125" width="13.7109375" style="39" customWidth="1"/>
    <col min="16126" max="16384" width="11.42578125" style="39"/>
  </cols>
  <sheetData>
    <row r="1" spans="1:14" x14ac:dyDescent="0.2">
      <c r="A1" s="148" t="s">
        <v>58</v>
      </c>
      <c r="B1" s="148"/>
      <c r="C1" s="148"/>
      <c r="D1" s="148"/>
      <c r="E1" s="149"/>
      <c r="F1" s="150"/>
      <c r="G1" s="151"/>
      <c r="H1" s="152"/>
    </row>
    <row r="2" spans="1:14" x14ac:dyDescent="0.2">
      <c r="A2" s="148" t="s">
        <v>59</v>
      </c>
      <c r="B2" s="148"/>
      <c r="C2" s="148"/>
      <c r="D2" s="148"/>
      <c r="E2" s="149"/>
      <c r="F2" s="150"/>
      <c r="G2" s="151"/>
      <c r="H2" s="152"/>
    </row>
    <row r="3" spans="1:14" ht="9.75" customHeight="1" x14ac:dyDescent="0.25">
      <c r="A3" s="341"/>
      <c r="B3" s="341"/>
      <c r="C3" s="341"/>
      <c r="D3" s="341"/>
      <c r="E3" s="344"/>
      <c r="F3" s="345"/>
      <c r="G3" s="153"/>
      <c r="H3" s="153"/>
    </row>
    <row r="4" spans="1:14" ht="15" customHeight="1" x14ac:dyDescent="0.2">
      <c r="A4" s="341" t="s">
        <v>139</v>
      </c>
      <c r="B4" s="341"/>
      <c r="C4" s="341"/>
      <c r="D4" s="341"/>
      <c r="E4" s="341"/>
      <c r="F4" s="341"/>
      <c r="G4" s="155"/>
      <c r="H4" s="155"/>
    </row>
    <row r="5" spans="1:14" ht="15.75" customHeight="1" x14ac:dyDescent="0.2">
      <c r="A5" s="346" t="s">
        <v>69</v>
      </c>
      <c r="B5" s="347"/>
      <c r="C5" s="347"/>
      <c r="D5" s="347"/>
      <c r="E5" s="347"/>
      <c r="F5" s="347"/>
      <c r="G5" s="347"/>
      <c r="H5" s="347"/>
    </row>
    <row r="6" spans="1:14" ht="5.25" customHeight="1" thickBot="1" x14ac:dyDescent="0.25">
      <c r="A6" s="156"/>
      <c r="B6" s="157"/>
      <c r="C6" s="158"/>
      <c r="D6" s="159"/>
      <c r="E6" s="160"/>
      <c r="F6" s="160"/>
      <c r="G6" s="160"/>
      <c r="H6" s="160"/>
    </row>
    <row r="7" spans="1:14" ht="34.5" thickBot="1" x14ac:dyDescent="0.25">
      <c r="A7" s="161" t="s">
        <v>0</v>
      </c>
      <c r="B7" s="162" t="s">
        <v>1</v>
      </c>
      <c r="C7" s="200" t="s">
        <v>138</v>
      </c>
      <c r="D7" s="201" t="s">
        <v>61</v>
      </c>
      <c r="E7" s="201" t="s">
        <v>62</v>
      </c>
      <c r="F7" s="201" t="s">
        <v>63</v>
      </c>
      <c r="G7" s="201" t="s">
        <v>64</v>
      </c>
      <c r="H7" s="202" t="s">
        <v>65</v>
      </c>
    </row>
    <row r="8" spans="1:14" ht="24.75" customHeight="1" x14ac:dyDescent="0.2">
      <c r="A8" s="339" t="s">
        <v>30</v>
      </c>
      <c r="B8" s="340"/>
      <c r="C8" s="203">
        <f>SUM(C10,C28)</f>
        <v>90750.000641051171</v>
      </c>
      <c r="D8" s="203">
        <f>SUM(D10,D28)</f>
        <v>67688.630641051175</v>
      </c>
      <c r="E8" s="203">
        <f>SUM(E10,E28)</f>
        <v>17227.53</v>
      </c>
      <c r="F8" s="203">
        <f t="shared" ref="F8:H8" si="0">SUM(F10,F28)</f>
        <v>2250.3198294511913</v>
      </c>
      <c r="G8" s="203">
        <f t="shared" si="0"/>
        <v>3318.0702103656513</v>
      </c>
      <c r="H8" s="204">
        <f t="shared" si="0"/>
        <v>265.44561682925212</v>
      </c>
    </row>
    <row r="9" spans="1:14" ht="15.75" customHeight="1" x14ac:dyDescent="0.2">
      <c r="A9" s="350" t="s">
        <v>75</v>
      </c>
      <c r="B9" s="351"/>
      <c r="C9" s="165"/>
      <c r="D9" s="166"/>
      <c r="E9" s="166"/>
      <c r="F9" s="166"/>
      <c r="G9" s="166"/>
      <c r="H9" s="167"/>
    </row>
    <row r="10" spans="1:14" s="11" customFormat="1" ht="22.5" x14ac:dyDescent="0.2">
      <c r="A10" s="196">
        <v>1025</v>
      </c>
      <c r="B10" s="197" t="s">
        <v>4</v>
      </c>
      <c r="C10" s="198">
        <f>SUM(C12,C24)</f>
        <v>34143.07</v>
      </c>
      <c r="D10" s="198">
        <f>SUM(D12,D24)</f>
        <v>16915.54</v>
      </c>
      <c r="E10" s="198">
        <f t="shared" ref="E10:H10" si="1">SUM(E12,E24)</f>
        <v>17227.53</v>
      </c>
      <c r="F10" s="198">
        <f t="shared" si="1"/>
        <v>0</v>
      </c>
      <c r="G10" s="198">
        <f t="shared" si="1"/>
        <v>0</v>
      </c>
      <c r="H10" s="199">
        <f t="shared" si="1"/>
        <v>0</v>
      </c>
      <c r="I10" s="39"/>
      <c r="J10" s="39"/>
      <c r="K10" s="39"/>
      <c r="L10" s="39"/>
      <c r="M10" s="39"/>
      <c r="N10" s="39"/>
    </row>
    <row r="11" spans="1:14" s="11" customFormat="1" x14ac:dyDescent="0.2">
      <c r="A11" s="354" t="s">
        <v>26</v>
      </c>
      <c r="B11" s="355"/>
      <c r="C11" s="168"/>
      <c r="D11" s="169"/>
      <c r="E11" s="169"/>
      <c r="F11" s="169"/>
      <c r="G11" s="169"/>
      <c r="H11" s="170"/>
      <c r="I11" s="39"/>
      <c r="J11" s="39"/>
      <c r="K11" s="39"/>
      <c r="L11" s="39"/>
      <c r="M11" s="39"/>
      <c r="N11" s="39"/>
    </row>
    <row r="12" spans="1:14" s="11" customFormat="1" ht="21.75" customHeight="1" x14ac:dyDescent="0.2">
      <c r="A12" s="356" t="s">
        <v>38</v>
      </c>
      <c r="B12" s="357"/>
      <c r="C12" s="171">
        <f>SUM(C22,C17,C13)</f>
        <v>34010.35</v>
      </c>
      <c r="D12" s="171">
        <f t="shared" ref="D12:H12" si="2">SUM(D22,D17,D13)</f>
        <v>16915.54</v>
      </c>
      <c r="E12" s="171">
        <f t="shared" si="2"/>
        <v>17094.809999999998</v>
      </c>
      <c r="F12" s="171">
        <f t="shared" si="2"/>
        <v>0</v>
      </c>
      <c r="G12" s="171">
        <f t="shared" si="2"/>
        <v>0</v>
      </c>
      <c r="H12" s="172">
        <f t="shared" si="2"/>
        <v>0</v>
      </c>
      <c r="I12" s="39"/>
      <c r="J12" s="39"/>
      <c r="K12" s="39"/>
      <c r="L12" s="39"/>
      <c r="M12" s="39"/>
      <c r="N12" s="39"/>
    </row>
    <row r="13" spans="1:14" s="11" customFormat="1" x14ac:dyDescent="0.2">
      <c r="A13" s="173">
        <v>31</v>
      </c>
      <c r="B13" s="174" t="s">
        <v>5</v>
      </c>
      <c r="C13" s="168">
        <v>19888.509999999998</v>
      </c>
      <c r="D13" s="168">
        <f t="shared" ref="D13:H13" si="3">SUM(D14:D16)</f>
        <v>16915.54</v>
      </c>
      <c r="E13" s="168">
        <f t="shared" si="3"/>
        <v>2972.9700000000003</v>
      </c>
      <c r="F13" s="168">
        <f t="shared" si="3"/>
        <v>0</v>
      </c>
      <c r="G13" s="168">
        <f t="shared" si="3"/>
        <v>0</v>
      </c>
      <c r="H13" s="175">
        <f t="shared" si="3"/>
        <v>0</v>
      </c>
      <c r="I13" s="39"/>
      <c r="J13" s="39"/>
      <c r="K13" s="39"/>
      <c r="L13" s="39"/>
      <c r="M13" s="39"/>
      <c r="N13" s="39"/>
    </row>
    <row r="14" spans="1:14" x14ac:dyDescent="0.2">
      <c r="A14" s="176">
        <v>311</v>
      </c>
      <c r="B14" s="177" t="s">
        <v>6</v>
      </c>
      <c r="C14" s="178">
        <v>15761.5</v>
      </c>
      <c r="D14" s="179">
        <v>15761.5</v>
      </c>
      <c r="E14" s="166">
        <v>0</v>
      </c>
      <c r="F14" s="166"/>
      <c r="G14" s="166"/>
      <c r="H14" s="167"/>
    </row>
    <row r="15" spans="1:14" x14ac:dyDescent="0.2">
      <c r="A15" s="176">
        <v>312</v>
      </c>
      <c r="B15" s="177" t="s">
        <v>7</v>
      </c>
      <c r="C15" s="165">
        <v>1526.31</v>
      </c>
      <c r="D15" s="166">
        <f>0/7.5345</f>
        <v>0</v>
      </c>
      <c r="E15" s="166">
        <v>1526.31</v>
      </c>
      <c r="F15" s="166"/>
      <c r="G15" s="166"/>
      <c r="H15" s="167"/>
    </row>
    <row r="16" spans="1:14" x14ac:dyDescent="0.2">
      <c r="A16" s="176">
        <v>313</v>
      </c>
      <c r="B16" s="177" t="s">
        <v>8</v>
      </c>
      <c r="C16" s="165">
        <v>2600.6999999999998</v>
      </c>
      <c r="D16" s="166">
        <v>1154.04</v>
      </c>
      <c r="E16" s="166">
        <v>1446.66</v>
      </c>
      <c r="F16" s="166"/>
      <c r="G16" s="166"/>
      <c r="H16" s="167"/>
    </row>
    <row r="17" spans="1:8" x14ac:dyDescent="0.2">
      <c r="A17" s="173">
        <v>32</v>
      </c>
      <c r="B17" s="174" t="s">
        <v>9</v>
      </c>
      <c r="C17" s="168">
        <f>SUM(C18:C21)</f>
        <v>13935.899999999998</v>
      </c>
      <c r="D17" s="168">
        <f t="shared" ref="D17:H17" si="4">SUM(D18:D21)</f>
        <v>0</v>
      </c>
      <c r="E17" s="168">
        <f t="shared" si="4"/>
        <v>13935.899999999998</v>
      </c>
      <c r="F17" s="168">
        <f t="shared" si="4"/>
        <v>0</v>
      </c>
      <c r="G17" s="168">
        <f t="shared" si="4"/>
        <v>0</v>
      </c>
      <c r="H17" s="175">
        <f t="shared" si="4"/>
        <v>0</v>
      </c>
    </row>
    <row r="18" spans="1:8" x14ac:dyDescent="0.2">
      <c r="A18" s="176">
        <v>321</v>
      </c>
      <c r="B18" s="177" t="s">
        <v>10</v>
      </c>
      <c r="C18" s="165">
        <v>2282.83</v>
      </c>
      <c r="D18" s="166"/>
      <c r="E18" s="166">
        <v>2282.83</v>
      </c>
      <c r="F18" s="166"/>
      <c r="G18" s="166"/>
      <c r="H18" s="167"/>
    </row>
    <row r="19" spans="1:8" x14ac:dyDescent="0.2">
      <c r="A19" s="176">
        <v>322</v>
      </c>
      <c r="B19" s="177" t="s">
        <v>11</v>
      </c>
      <c r="C19" s="165">
        <v>1712.12</v>
      </c>
      <c r="D19" s="166"/>
      <c r="E19" s="166">
        <v>1712.12</v>
      </c>
      <c r="F19" s="166"/>
      <c r="G19" s="166"/>
      <c r="H19" s="167"/>
    </row>
    <row r="20" spans="1:8" x14ac:dyDescent="0.2">
      <c r="A20" s="176">
        <v>323</v>
      </c>
      <c r="B20" s="177" t="s">
        <v>12</v>
      </c>
      <c r="C20" s="165">
        <v>9064.9699999999993</v>
      </c>
      <c r="D20" s="166"/>
      <c r="E20" s="166">
        <v>9064.9699999999993</v>
      </c>
      <c r="F20" s="166"/>
      <c r="G20" s="166"/>
      <c r="H20" s="167"/>
    </row>
    <row r="21" spans="1:8" x14ac:dyDescent="0.2">
      <c r="A21" s="176">
        <v>329</v>
      </c>
      <c r="B21" s="180" t="s">
        <v>36</v>
      </c>
      <c r="C21" s="165">
        <v>875.98</v>
      </c>
      <c r="D21" s="166"/>
      <c r="E21" s="166">
        <v>875.98</v>
      </c>
      <c r="F21" s="166"/>
      <c r="G21" s="169"/>
      <c r="H21" s="170"/>
    </row>
    <row r="22" spans="1:8" x14ac:dyDescent="0.2">
      <c r="A22" s="173">
        <v>34</v>
      </c>
      <c r="B22" s="174" t="s">
        <v>13</v>
      </c>
      <c r="C22" s="168">
        <f>SUM(C23)</f>
        <v>185.94</v>
      </c>
      <c r="D22" s="169"/>
      <c r="E22" s="169">
        <f t="shared" ref="E22:G22" si="5">SUM(E23)</f>
        <v>185.94</v>
      </c>
      <c r="F22" s="169"/>
      <c r="G22" s="169">
        <f t="shared" si="5"/>
        <v>0</v>
      </c>
      <c r="H22" s="170"/>
    </row>
    <row r="23" spans="1:8" x14ac:dyDescent="0.2">
      <c r="A23" s="176">
        <v>343</v>
      </c>
      <c r="B23" s="177" t="s">
        <v>14</v>
      </c>
      <c r="C23" s="178">
        <v>185.94</v>
      </c>
      <c r="D23" s="179"/>
      <c r="E23" s="179">
        <v>185.94</v>
      </c>
      <c r="F23" s="166"/>
      <c r="G23" s="166"/>
      <c r="H23" s="167"/>
    </row>
    <row r="24" spans="1:8" ht="18.75" customHeight="1" x14ac:dyDescent="0.2">
      <c r="A24" s="356" t="s">
        <v>39</v>
      </c>
      <c r="B24" s="357"/>
      <c r="C24" s="181">
        <f>SUM(C25)</f>
        <v>132.72</v>
      </c>
      <c r="D24" s="181">
        <f>SUM(D25:D27)</f>
        <v>0</v>
      </c>
      <c r="E24" s="181">
        <f t="shared" ref="E24:H24" si="6">SUM(E25)</f>
        <v>132.72</v>
      </c>
      <c r="F24" s="181">
        <f t="shared" si="6"/>
        <v>0</v>
      </c>
      <c r="G24" s="181">
        <f t="shared" si="6"/>
        <v>0</v>
      </c>
      <c r="H24" s="182">
        <f t="shared" si="6"/>
        <v>0</v>
      </c>
    </row>
    <row r="25" spans="1:8" ht="18" x14ac:dyDescent="0.2">
      <c r="A25" s="173">
        <v>42</v>
      </c>
      <c r="B25" s="174" t="s">
        <v>28</v>
      </c>
      <c r="C25" s="168">
        <f>SUM(C26:C27)</f>
        <v>132.72</v>
      </c>
      <c r="D25" s="169"/>
      <c r="E25" s="169">
        <f t="shared" ref="E25" si="7">SUM(E26:E27)</f>
        <v>132.72</v>
      </c>
      <c r="F25" s="169"/>
      <c r="G25" s="169">
        <f t="shared" ref="G25" si="8">SUM(G26:G27)</f>
        <v>0</v>
      </c>
      <c r="H25" s="170"/>
    </row>
    <row r="26" spans="1:8" x14ac:dyDescent="0.2">
      <c r="A26" s="176">
        <v>422</v>
      </c>
      <c r="B26" s="177" t="s">
        <v>29</v>
      </c>
      <c r="C26" s="165">
        <v>132.72</v>
      </c>
      <c r="D26" s="166"/>
      <c r="E26" s="166">
        <v>132.72</v>
      </c>
      <c r="F26" s="169"/>
      <c r="G26" s="169"/>
      <c r="H26" s="170"/>
    </row>
    <row r="27" spans="1:8" x14ac:dyDescent="0.2">
      <c r="A27" s="176">
        <v>426</v>
      </c>
      <c r="B27" s="177" t="s">
        <v>27</v>
      </c>
      <c r="C27" s="165">
        <v>0</v>
      </c>
      <c r="D27" s="166"/>
      <c r="E27" s="166"/>
      <c r="F27" s="169"/>
      <c r="G27" s="169"/>
      <c r="H27" s="170"/>
    </row>
    <row r="28" spans="1:8" ht="22.5" x14ac:dyDescent="0.2">
      <c r="A28" s="183">
        <v>1026</v>
      </c>
      <c r="B28" s="184" t="s">
        <v>31</v>
      </c>
      <c r="C28" s="146">
        <f>SUM(C30,C43)</f>
        <v>56606.930641051171</v>
      </c>
      <c r="D28" s="146">
        <f t="shared" ref="D28:H28" si="9">SUM(D30,D43)</f>
        <v>50773.090641051174</v>
      </c>
      <c r="E28" s="146">
        <f t="shared" si="9"/>
        <v>0</v>
      </c>
      <c r="F28" s="146">
        <f t="shared" si="9"/>
        <v>2250.3198294511913</v>
      </c>
      <c r="G28" s="146">
        <f t="shared" si="9"/>
        <v>3318.0702103656513</v>
      </c>
      <c r="H28" s="147">
        <f t="shared" si="9"/>
        <v>265.44561682925212</v>
      </c>
    </row>
    <row r="29" spans="1:8" x14ac:dyDescent="0.2">
      <c r="A29" s="354" t="s">
        <v>32</v>
      </c>
      <c r="B29" s="355"/>
      <c r="C29" s="168"/>
      <c r="D29" s="169"/>
      <c r="E29" s="169"/>
      <c r="F29" s="169"/>
      <c r="G29" s="169"/>
      <c r="H29" s="170"/>
    </row>
    <row r="30" spans="1:8" ht="18.75" customHeight="1" x14ac:dyDescent="0.2">
      <c r="A30" s="356" t="s">
        <v>33</v>
      </c>
      <c r="B30" s="357"/>
      <c r="C30" s="171">
        <f>SUM(C31,C35,C41)</f>
        <v>51430.730641051174</v>
      </c>
      <c r="D30" s="171">
        <f t="shared" ref="D30:H30" si="10">SUM(D31,D35,D41)</f>
        <v>49445.860641051171</v>
      </c>
      <c r="E30" s="171">
        <f t="shared" si="10"/>
        <v>0</v>
      </c>
      <c r="F30" s="171">
        <f t="shared" si="10"/>
        <v>1984.874212621939</v>
      </c>
      <c r="G30" s="171">
        <f t="shared" si="10"/>
        <v>0</v>
      </c>
      <c r="H30" s="172">
        <f t="shared" si="10"/>
        <v>0</v>
      </c>
    </row>
    <row r="31" spans="1:8" x14ac:dyDescent="0.2">
      <c r="A31" s="173">
        <v>31</v>
      </c>
      <c r="B31" s="174" t="s">
        <v>5</v>
      </c>
      <c r="C31" s="168">
        <f>SUM(C32:C34)</f>
        <v>41031.260000000009</v>
      </c>
      <c r="D31" s="169">
        <f t="shared" ref="D31" si="11">SUM(D32:D34)</f>
        <v>41031.260000000009</v>
      </c>
      <c r="E31" s="169"/>
      <c r="F31" s="169">
        <f t="shared" ref="F31" si="12">SUM(F32:F34)</f>
        <v>0</v>
      </c>
      <c r="G31" s="169">
        <f t="shared" ref="G31:H31" si="13">SUM(G32:G34)</f>
        <v>0</v>
      </c>
      <c r="H31" s="170">
        <f t="shared" si="13"/>
        <v>0</v>
      </c>
    </row>
    <row r="32" spans="1:8" x14ac:dyDescent="0.2">
      <c r="A32" s="176">
        <v>311</v>
      </c>
      <c r="B32" s="177" t="s">
        <v>6</v>
      </c>
      <c r="C32" s="178">
        <v>32872.120000000003</v>
      </c>
      <c r="D32" s="179">
        <v>32872.120000000003</v>
      </c>
      <c r="E32" s="166"/>
      <c r="F32" s="166"/>
      <c r="G32" s="166"/>
      <c r="H32" s="167"/>
    </row>
    <row r="33" spans="1:8" x14ac:dyDescent="0.2">
      <c r="A33" s="176">
        <v>312</v>
      </c>
      <c r="B33" s="177" t="s">
        <v>7</v>
      </c>
      <c r="C33" s="178">
        <v>2734.09</v>
      </c>
      <c r="D33" s="179">
        <v>2734.09</v>
      </c>
      <c r="E33" s="166"/>
      <c r="F33" s="166"/>
      <c r="G33" s="166"/>
      <c r="H33" s="167"/>
    </row>
    <row r="34" spans="1:8" x14ac:dyDescent="0.2">
      <c r="A34" s="176">
        <v>313</v>
      </c>
      <c r="B34" s="177" t="s">
        <v>8</v>
      </c>
      <c r="C34" s="178">
        <v>5425.05</v>
      </c>
      <c r="D34" s="179">
        <v>5425.05</v>
      </c>
      <c r="E34" s="166"/>
      <c r="F34" s="166"/>
      <c r="G34" s="166"/>
      <c r="H34" s="167"/>
    </row>
    <row r="35" spans="1:8" x14ac:dyDescent="0.2">
      <c r="A35" s="173">
        <v>32</v>
      </c>
      <c r="B35" s="174" t="s">
        <v>9</v>
      </c>
      <c r="C35" s="185">
        <f>SUM(C36:C40)</f>
        <v>10213.658709270687</v>
      </c>
      <c r="D35" s="186">
        <f t="shared" ref="D35" si="14">SUM(D36:D40)</f>
        <v>8228.7887092706878</v>
      </c>
      <c r="E35" s="169"/>
      <c r="F35" s="169">
        <f t="shared" ref="F35" si="15">SUM(F36:F40)</f>
        <v>1984.874212621939</v>
      </c>
      <c r="G35" s="169">
        <f t="shared" ref="G35:H35" si="16">SUM(G36:G40)</f>
        <v>0</v>
      </c>
      <c r="H35" s="170">
        <f t="shared" si="16"/>
        <v>0</v>
      </c>
    </row>
    <row r="36" spans="1:8" x14ac:dyDescent="0.2">
      <c r="A36" s="176">
        <v>321</v>
      </c>
      <c r="B36" s="177" t="s">
        <v>10</v>
      </c>
      <c r="C36" s="178">
        <v>3517.15</v>
      </c>
      <c r="D36" s="179">
        <v>2853.54</v>
      </c>
      <c r="E36" s="166"/>
      <c r="F36" s="166">
        <v>663.61</v>
      </c>
      <c r="G36" s="166"/>
      <c r="H36" s="167"/>
    </row>
    <row r="37" spans="1:8" x14ac:dyDescent="0.2">
      <c r="A37" s="176">
        <v>322</v>
      </c>
      <c r="B37" s="177" t="s">
        <v>11</v>
      </c>
      <c r="C37" s="178">
        <v>2106.9699999999998</v>
      </c>
      <c r="D37" s="179">
        <v>1389.59</v>
      </c>
      <c r="E37" s="166"/>
      <c r="F37" s="166">
        <v>717.38</v>
      </c>
      <c r="G37" s="166"/>
      <c r="H37" s="167"/>
    </row>
    <row r="38" spans="1:8" x14ac:dyDescent="0.2">
      <c r="A38" s="176">
        <v>323</v>
      </c>
      <c r="B38" s="177" t="s">
        <v>12</v>
      </c>
      <c r="C38" s="178">
        <v>3676.41</v>
      </c>
      <c r="D38" s="179">
        <v>3271.61</v>
      </c>
      <c r="E38" s="166"/>
      <c r="F38" s="166">
        <v>404.8</v>
      </c>
      <c r="G38" s="166"/>
      <c r="H38" s="167"/>
    </row>
    <row r="39" spans="1:8" ht="18" x14ac:dyDescent="0.2">
      <c r="A39" s="176">
        <v>324</v>
      </c>
      <c r="B39" s="177" t="s">
        <v>34</v>
      </c>
      <c r="C39" s="178">
        <v>199.08</v>
      </c>
      <c r="D39" s="179"/>
      <c r="E39" s="166"/>
      <c r="F39" s="166">
        <f>1500/7.5345</f>
        <v>199.08421262193906</v>
      </c>
      <c r="G39" s="166"/>
      <c r="H39" s="167"/>
    </row>
    <row r="40" spans="1:8" x14ac:dyDescent="0.2">
      <c r="A40" s="176">
        <v>329</v>
      </c>
      <c r="B40" s="180" t="s">
        <v>36</v>
      </c>
      <c r="C40" s="178">
        <f>5380/7.5345</f>
        <v>714.04870927068816</v>
      </c>
      <c r="D40" s="179">
        <f>5380/7.5345</f>
        <v>714.04870927068816</v>
      </c>
      <c r="E40" s="169"/>
      <c r="F40" s="166"/>
      <c r="G40" s="169"/>
      <c r="H40" s="170"/>
    </row>
    <row r="41" spans="1:8" x14ac:dyDescent="0.2">
      <c r="A41" s="173">
        <v>34</v>
      </c>
      <c r="B41" s="174" t="s">
        <v>13</v>
      </c>
      <c r="C41" s="168">
        <f>SUM(C42)</f>
        <v>185.81193178047647</v>
      </c>
      <c r="D41" s="169">
        <f>1400/7.5345</f>
        <v>185.81193178047647</v>
      </c>
      <c r="E41" s="169"/>
      <c r="F41" s="169">
        <f t="shared" ref="F41:H41" si="17">SUM(F42)</f>
        <v>0</v>
      </c>
      <c r="G41" s="169">
        <f t="shared" si="17"/>
        <v>0</v>
      </c>
      <c r="H41" s="170">
        <f t="shared" si="17"/>
        <v>0</v>
      </c>
    </row>
    <row r="42" spans="1:8" x14ac:dyDescent="0.2">
      <c r="A42" s="176">
        <v>343</v>
      </c>
      <c r="B42" s="177" t="s">
        <v>14</v>
      </c>
      <c r="C42" s="165">
        <f>1400/7.5345</f>
        <v>185.81193178047647</v>
      </c>
      <c r="D42" s="166">
        <f>1400/7.5345</f>
        <v>185.81193178047647</v>
      </c>
      <c r="E42" s="166"/>
      <c r="F42" s="166"/>
      <c r="G42" s="166"/>
      <c r="H42" s="167"/>
    </row>
    <row r="43" spans="1:8" ht="18.75" customHeight="1" x14ac:dyDescent="0.2">
      <c r="A43" s="356" t="s">
        <v>37</v>
      </c>
      <c r="B43" s="357"/>
      <c r="C43" s="181">
        <f>SUM(C44)</f>
        <v>5176.2</v>
      </c>
      <c r="D43" s="181">
        <f t="shared" ref="D43:H43" si="18">SUM(D44)</f>
        <v>1327.23</v>
      </c>
      <c r="E43" s="181">
        <f t="shared" si="18"/>
        <v>0</v>
      </c>
      <c r="F43" s="181">
        <f t="shared" si="18"/>
        <v>265.44561682925212</v>
      </c>
      <c r="G43" s="181">
        <f t="shared" si="18"/>
        <v>3318.0702103656513</v>
      </c>
      <c r="H43" s="182">
        <f t="shared" si="18"/>
        <v>265.44561682925212</v>
      </c>
    </row>
    <row r="44" spans="1:8" ht="18" x14ac:dyDescent="0.2">
      <c r="A44" s="173">
        <v>42</v>
      </c>
      <c r="B44" s="174" t="s">
        <v>28</v>
      </c>
      <c r="C44" s="168">
        <f>SUM(C46:C47)</f>
        <v>5176.2</v>
      </c>
      <c r="D44" s="169">
        <f t="shared" ref="D44" si="19">SUM(D45:D47)</f>
        <v>1327.23</v>
      </c>
      <c r="E44" s="169"/>
      <c r="F44" s="169">
        <f t="shared" ref="F44" si="20">SUM(F45:F47)</f>
        <v>265.44561682925212</v>
      </c>
      <c r="G44" s="169">
        <f t="shared" ref="G44" si="21">SUM(G45:G47)</f>
        <v>3318.0702103656513</v>
      </c>
      <c r="H44" s="170">
        <f>SUM(H45:H47)</f>
        <v>265.44561682925212</v>
      </c>
    </row>
    <row r="45" spans="1:8" x14ac:dyDescent="0.2">
      <c r="A45" s="176">
        <v>422</v>
      </c>
      <c r="B45" s="177" t="s">
        <v>29</v>
      </c>
      <c r="C45" s="165"/>
      <c r="D45" s="166"/>
      <c r="E45" s="166"/>
      <c r="F45" s="166"/>
      <c r="G45" s="169"/>
      <c r="H45" s="170"/>
    </row>
    <row r="46" spans="1:8" ht="18" x14ac:dyDescent="0.2">
      <c r="A46" s="176">
        <v>424</v>
      </c>
      <c r="B46" s="177" t="s">
        <v>35</v>
      </c>
      <c r="C46" s="165">
        <v>5176.2</v>
      </c>
      <c r="D46" s="166">
        <v>1327.23</v>
      </c>
      <c r="E46" s="166"/>
      <c r="F46" s="166">
        <f>2000/7.5345</f>
        <v>265.44561682925212</v>
      </c>
      <c r="G46" s="166">
        <f>25000/7.5345</f>
        <v>3318.0702103656513</v>
      </c>
      <c r="H46" s="167">
        <f>2000/7.5345</f>
        <v>265.44561682925212</v>
      </c>
    </row>
    <row r="47" spans="1:8" ht="13.5" thickBot="1" x14ac:dyDescent="0.25">
      <c r="A47" s="187">
        <v>426</v>
      </c>
      <c r="B47" s="188" t="s">
        <v>27</v>
      </c>
      <c r="C47" s="189"/>
      <c r="D47" s="190"/>
      <c r="E47" s="190"/>
      <c r="F47" s="190"/>
      <c r="G47" s="190"/>
      <c r="H47" s="191"/>
    </row>
    <row r="48" spans="1:8" x14ac:dyDescent="0.2">
      <c r="A48" s="192"/>
      <c r="B48" s="193"/>
      <c r="C48" s="194"/>
      <c r="D48" s="195"/>
      <c r="E48" s="195"/>
      <c r="F48" s="195"/>
      <c r="G48" s="195"/>
      <c r="H48" s="195"/>
    </row>
    <row r="49" spans="1:8" x14ac:dyDescent="0.2">
      <c r="A49" s="192"/>
      <c r="B49" s="193"/>
      <c r="C49" s="194"/>
      <c r="D49" s="195"/>
      <c r="E49" s="195"/>
      <c r="F49" s="195"/>
      <c r="G49" s="195"/>
      <c r="H49" s="195"/>
    </row>
    <row r="50" spans="1:8" x14ac:dyDescent="0.2">
      <c r="A50" s="192"/>
      <c r="B50" s="193"/>
      <c r="C50" s="194"/>
      <c r="D50" s="195"/>
      <c r="E50" s="195"/>
      <c r="F50" s="195"/>
      <c r="G50" s="195"/>
      <c r="H50" s="195"/>
    </row>
    <row r="51" spans="1:8" x14ac:dyDescent="0.2">
      <c r="A51" s="192"/>
      <c r="B51" s="193"/>
      <c r="C51" s="194"/>
      <c r="D51" s="195"/>
      <c r="E51" s="195"/>
      <c r="F51" s="195"/>
      <c r="G51" s="195"/>
      <c r="H51" s="195"/>
    </row>
    <row r="52" spans="1:8" x14ac:dyDescent="0.2">
      <c r="A52" s="192"/>
      <c r="B52" s="193"/>
      <c r="C52" s="194"/>
      <c r="D52" s="195"/>
      <c r="E52" s="195"/>
      <c r="F52" s="195"/>
      <c r="G52" s="195"/>
      <c r="H52" s="195"/>
    </row>
    <row r="53" spans="1:8" x14ac:dyDescent="0.2">
      <c r="A53" s="192"/>
      <c r="B53" s="193"/>
      <c r="C53" s="194"/>
      <c r="D53" s="195"/>
      <c r="E53" s="195"/>
      <c r="F53" s="195"/>
      <c r="G53" s="195"/>
      <c r="H53" s="195"/>
    </row>
    <row r="54" spans="1:8" x14ac:dyDescent="0.2">
      <c r="A54" s="192"/>
      <c r="B54" s="193"/>
      <c r="C54" s="194"/>
      <c r="D54" s="195"/>
      <c r="E54" s="195"/>
      <c r="F54" s="195"/>
      <c r="G54" s="195"/>
      <c r="H54" s="195"/>
    </row>
    <row r="55" spans="1:8" x14ac:dyDescent="0.2">
      <c r="A55" s="192"/>
      <c r="B55" s="193"/>
      <c r="C55" s="194"/>
      <c r="D55" s="195"/>
      <c r="E55" s="195"/>
      <c r="F55" s="195"/>
      <c r="G55" s="195"/>
      <c r="H55" s="195"/>
    </row>
  </sheetData>
  <mergeCells count="11">
    <mergeCell ref="A8:B8"/>
    <mergeCell ref="A3:F3"/>
    <mergeCell ref="A4:F4"/>
    <mergeCell ref="A5:H5"/>
    <mergeCell ref="A43:B43"/>
    <mergeCell ref="A9:B9"/>
    <mergeCell ref="A11:B11"/>
    <mergeCell ref="A12:B12"/>
    <mergeCell ref="A24:B24"/>
    <mergeCell ref="A29:B29"/>
    <mergeCell ref="A30:B30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130" zoomScaleNormal="130" workbookViewId="0">
      <selection activeCell="C28" sqref="C28"/>
    </sheetView>
  </sheetViews>
  <sheetFormatPr defaultColWidth="11.42578125" defaultRowHeight="12.75" x14ac:dyDescent="0.2"/>
  <cols>
    <col min="1" max="1" width="6.7109375" style="3" customWidth="1"/>
    <col min="2" max="2" width="22.85546875" style="4" customWidth="1"/>
    <col min="3" max="3" width="9.5703125" style="26" customWidth="1"/>
    <col min="4" max="4" width="10.5703125" style="5" customWidth="1"/>
    <col min="5" max="5" width="9.140625" style="5" customWidth="1"/>
    <col min="6" max="6" width="8.85546875" style="5" customWidth="1"/>
    <col min="7" max="7" width="9.140625" style="5" customWidth="1"/>
    <col min="8" max="8" width="8" style="5" customWidth="1"/>
    <col min="9" max="242" width="11.42578125" style="39"/>
    <col min="243" max="243" width="12.5703125" style="39" customWidth="1"/>
    <col min="244" max="244" width="34.28515625" style="39" customWidth="1"/>
    <col min="245" max="245" width="20.28515625" style="39" customWidth="1"/>
    <col min="246" max="252" width="13.7109375" style="39" customWidth="1"/>
    <col min="253" max="498" width="11.42578125" style="39"/>
    <col min="499" max="499" width="12.5703125" style="39" customWidth="1"/>
    <col min="500" max="500" width="34.28515625" style="39" customWidth="1"/>
    <col min="501" max="501" width="20.28515625" style="39" customWidth="1"/>
    <col min="502" max="508" width="13.7109375" style="39" customWidth="1"/>
    <col min="509" max="754" width="11.42578125" style="39"/>
    <col min="755" max="755" width="12.5703125" style="39" customWidth="1"/>
    <col min="756" max="756" width="34.28515625" style="39" customWidth="1"/>
    <col min="757" max="757" width="20.28515625" style="39" customWidth="1"/>
    <col min="758" max="764" width="13.7109375" style="39" customWidth="1"/>
    <col min="765" max="1010" width="11.42578125" style="39"/>
    <col min="1011" max="1011" width="12.5703125" style="39" customWidth="1"/>
    <col min="1012" max="1012" width="34.28515625" style="39" customWidth="1"/>
    <col min="1013" max="1013" width="20.28515625" style="39" customWidth="1"/>
    <col min="1014" max="1020" width="13.7109375" style="39" customWidth="1"/>
    <col min="1021" max="1266" width="11.42578125" style="39"/>
    <col min="1267" max="1267" width="12.5703125" style="39" customWidth="1"/>
    <col min="1268" max="1268" width="34.28515625" style="39" customWidth="1"/>
    <col min="1269" max="1269" width="20.28515625" style="39" customWidth="1"/>
    <col min="1270" max="1276" width="13.7109375" style="39" customWidth="1"/>
    <col min="1277" max="1522" width="11.42578125" style="39"/>
    <col min="1523" max="1523" width="12.5703125" style="39" customWidth="1"/>
    <col min="1524" max="1524" width="34.28515625" style="39" customWidth="1"/>
    <col min="1525" max="1525" width="20.28515625" style="39" customWidth="1"/>
    <col min="1526" max="1532" width="13.7109375" style="39" customWidth="1"/>
    <col min="1533" max="1778" width="11.42578125" style="39"/>
    <col min="1779" max="1779" width="12.5703125" style="39" customWidth="1"/>
    <col min="1780" max="1780" width="34.28515625" style="39" customWidth="1"/>
    <col min="1781" max="1781" width="20.28515625" style="39" customWidth="1"/>
    <col min="1782" max="1788" width="13.7109375" style="39" customWidth="1"/>
    <col min="1789" max="2034" width="11.42578125" style="39"/>
    <col min="2035" max="2035" width="12.5703125" style="39" customWidth="1"/>
    <col min="2036" max="2036" width="34.28515625" style="39" customWidth="1"/>
    <col min="2037" max="2037" width="20.28515625" style="39" customWidth="1"/>
    <col min="2038" max="2044" width="13.7109375" style="39" customWidth="1"/>
    <col min="2045" max="2290" width="11.42578125" style="39"/>
    <col min="2291" max="2291" width="12.5703125" style="39" customWidth="1"/>
    <col min="2292" max="2292" width="34.28515625" style="39" customWidth="1"/>
    <col min="2293" max="2293" width="20.28515625" style="39" customWidth="1"/>
    <col min="2294" max="2300" width="13.7109375" style="39" customWidth="1"/>
    <col min="2301" max="2546" width="11.42578125" style="39"/>
    <col min="2547" max="2547" width="12.5703125" style="39" customWidth="1"/>
    <col min="2548" max="2548" width="34.28515625" style="39" customWidth="1"/>
    <col min="2549" max="2549" width="20.28515625" style="39" customWidth="1"/>
    <col min="2550" max="2556" width="13.7109375" style="39" customWidth="1"/>
    <col min="2557" max="2802" width="11.42578125" style="39"/>
    <col min="2803" max="2803" width="12.5703125" style="39" customWidth="1"/>
    <col min="2804" max="2804" width="34.28515625" style="39" customWidth="1"/>
    <col min="2805" max="2805" width="20.28515625" style="39" customWidth="1"/>
    <col min="2806" max="2812" width="13.7109375" style="39" customWidth="1"/>
    <col min="2813" max="3058" width="11.42578125" style="39"/>
    <col min="3059" max="3059" width="12.5703125" style="39" customWidth="1"/>
    <col min="3060" max="3060" width="34.28515625" style="39" customWidth="1"/>
    <col min="3061" max="3061" width="20.28515625" style="39" customWidth="1"/>
    <col min="3062" max="3068" width="13.7109375" style="39" customWidth="1"/>
    <col min="3069" max="3314" width="11.42578125" style="39"/>
    <col min="3315" max="3315" width="12.5703125" style="39" customWidth="1"/>
    <col min="3316" max="3316" width="34.28515625" style="39" customWidth="1"/>
    <col min="3317" max="3317" width="20.28515625" style="39" customWidth="1"/>
    <col min="3318" max="3324" width="13.7109375" style="39" customWidth="1"/>
    <col min="3325" max="3570" width="11.42578125" style="39"/>
    <col min="3571" max="3571" width="12.5703125" style="39" customWidth="1"/>
    <col min="3572" max="3572" width="34.28515625" style="39" customWidth="1"/>
    <col min="3573" max="3573" width="20.28515625" style="39" customWidth="1"/>
    <col min="3574" max="3580" width="13.7109375" style="39" customWidth="1"/>
    <col min="3581" max="3826" width="11.42578125" style="39"/>
    <col min="3827" max="3827" width="12.5703125" style="39" customWidth="1"/>
    <col min="3828" max="3828" width="34.28515625" style="39" customWidth="1"/>
    <col min="3829" max="3829" width="20.28515625" style="39" customWidth="1"/>
    <col min="3830" max="3836" width="13.7109375" style="39" customWidth="1"/>
    <col min="3837" max="4082" width="11.42578125" style="39"/>
    <col min="4083" max="4083" width="12.5703125" style="39" customWidth="1"/>
    <col min="4084" max="4084" width="34.28515625" style="39" customWidth="1"/>
    <col min="4085" max="4085" width="20.28515625" style="39" customWidth="1"/>
    <col min="4086" max="4092" width="13.7109375" style="39" customWidth="1"/>
    <col min="4093" max="4338" width="11.42578125" style="39"/>
    <col min="4339" max="4339" width="12.5703125" style="39" customWidth="1"/>
    <col min="4340" max="4340" width="34.28515625" style="39" customWidth="1"/>
    <col min="4341" max="4341" width="20.28515625" style="39" customWidth="1"/>
    <col min="4342" max="4348" width="13.7109375" style="39" customWidth="1"/>
    <col min="4349" max="4594" width="11.42578125" style="39"/>
    <col min="4595" max="4595" width="12.5703125" style="39" customWidth="1"/>
    <col min="4596" max="4596" width="34.28515625" style="39" customWidth="1"/>
    <col min="4597" max="4597" width="20.28515625" style="39" customWidth="1"/>
    <col min="4598" max="4604" width="13.7109375" style="39" customWidth="1"/>
    <col min="4605" max="4850" width="11.42578125" style="39"/>
    <col min="4851" max="4851" width="12.5703125" style="39" customWidth="1"/>
    <col min="4852" max="4852" width="34.28515625" style="39" customWidth="1"/>
    <col min="4853" max="4853" width="20.28515625" style="39" customWidth="1"/>
    <col min="4854" max="4860" width="13.7109375" style="39" customWidth="1"/>
    <col min="4861" max="5106" width="11.42578125" style="39"/>
    <col min="5107" max="5107" width="12.5703125" style="39" customWidth="1"/>
    <col min="5108" max="5108" width="34.28515625" style="39" customWidth="1"/>
    <col min="5109" max="5109" width="20.28515625" style="39" customWidth="1"/>
    <col min="5110" max="5116" width="13.7109375" style="39" customWidth="1"/>
    <col min="5117" max="5362" width="11.42578125" style="39"/>
    <col min="5363" max="5363" width="12.5703125" style="39" customWidth="1"/>
    <col min="5364" max="5364" width="34.28515625" style="39" customWidth="1"/>
    <col min="5365" max="5365" width="20.28515625" style="39" customWidth="1"/>
    <col min="5366" max="5372" width="13.7109375" style="39" customWidth="1"/>
    <col min="5373" max="5618" width="11.42578125" style="39"/>
    <col min="5619" max="5619" width="12.5703125" style="39" customWidth="1"/>
    <col min="5620" max="5620" width="34.28515625" style="39" customWidth="1"/>
    <col min="5621" max="5621" width="20.28515625" style="39" customWidth="1"/>
    <col min="5622" max="5628" width="13.7109375" style="39" customWidth="1"/>
    <col min="5629" max="5874" width="11.42578125" style="39"/>
    <col min="5875" max="5875" width="12.5703125" style="39" customWidth="1"/>
    <col min="5876" max="5876" width="34.28515625" style="39" customWidth="1"/>
    <col min="5877" max="5877" width="20.28515625" style="39" customWidth="1"/>
    <col min="5878" max="5884" width="13.7109375" style="39" customWidth="1"/>
    <col min="5885" max="6130" width="11.42578125" style="39"/>
    <col min="6131" max="6131" width="12.5703125" style="39" customWidth="1"/>
    <col min="6132" max="6132" width="34.28515625" style="39" customWidth="1"/>
    <col min="6133" max="6133" width="20.28515625" style="39" customWidth="1"/>
    <col min="6134" max="6140" width="13.7109375" style="39" customWidth="1"/>
    <col min="6141" max="6386" width="11.42578125" style="39"/>
    <col min="6387" max="6387" width="12.5703125" style="39" customWidth="1"/>
    <col min="6388" max="6388" width="34.28515625" style="39" customWidth="1"/>
    <col min="6389" max="6389" width="20.28515625" style="39" customWidth="1"/>
    <col min="6390" max="6396" width="13.7109375" style="39" customWidth="1"/>
    <col min="6397" max="6642" width="11.42578125" style="39"/>
    <col min="6643" max="6643" width="12.5703125" style="39" customWidth="1"/>
    <col min="6644" max="6644" width="34.28515625" style="39" customWidth="1"/>
    <col min="6645" max="6645" width="20.28515625" style="39" customWidth="1"/>
    <col min="6646" max="6652" width="13.7109375" style="39" customWidth="1"/>
    <col min="6653" max="6898" width="11.42578125" style="39"/>
    <col min="6899" max="6899" width="12.5703125" style="39" customWidth="1"/>
    <col min="6900" max="6900" width="34.28515625" style="39" customWidth="1"/>
    <col min="6901" max="6901" width="20.28515625" style="39" customWidth="1"/>
    <col min="6902" max="6908" width="13.7109375" style="39" customWidth="1"/>
    <col min="6909" max="7154" width="11.42578125" style="39"/>
    <col min="7155" max="7155" width="12.5703125" style="39" customWidth="1"/>
    <col min="7156" max="7156" width="34.28515625" style="39" customWidth="1"/>
    <col min="7157" max="7157" width="20.28515625" style="39" customWidth="1"/>
    <col min="7158" max="7164" width="13.7109375" style="39" customWidth="1"/>
    <col min="7165" max="7410" width="11.42578125" style="39"/>
    <col min="7411" max="7411" width="12.5703125" style="39" customWidth="1"/>
    <col min="7412" max="7412" width="34.28515625" style="39" customWidth="1"/>
    <col min="7413" max="7413" width="20.28515625" style="39" customWidth="1"/>
    <col min="7414" max="7420" width="13.7109375" style="39" customWidth="1"/>
    <col min="7421" max="7666" width="11.42578125" style="39"/>
    <col min="7667" max="7667" width="12.5703125" style="39" customWidth="1"/>
    <col min="7668" max="7668" width="34.28515625" style="39" customWidth="1"/>
    <col min="7669" max="7669" width="20.28515625" style="39" customWidth="1"/>
    <col min="7670" max="7676" width="13.7109375" style="39" customWidth="1"/>
    <col min="7677" max="7922" width="11.42578125" style="39"/>
    <col min="7923" max="7923" width="12.5703125" style="39" customWidth="1"/>
    <col min="7924" max="7924" width="34.28515625" style="39" customWidth="1"/>
    <col min="7925" max="7925" width="20.28515625" style="39" customWidth="1"/>
    <col min="7926" max="7932" width="13.7109375" style="39" customWidth="1"/>
    <col min="7933" max="8178" width="11.42578125" style="39"/>
    <col min="8179" max="8179" width="12.5703125" style="39" customWidth="1"/>
    <col min="8180" max="8180" width="34.28515625" style="39" customWidth="1"/>
    <col min="8181" max="8181" width="20.28515625" style="39" customWidth="1"/>
    <col min="8182" max="8188" width="13.7109375" style="39" customWidth="1"/>
    <col min="8189" max="8434" width="11.42578125" style="39"/>
    <col min="8435" max="8435" width="12.5703125" style="39" customWidth="1"/>
    <col min="8436" max="8436" width="34.28515625" style="39" customWidth="1"/>
    <col min="8437" max="8437" width="20.28515625" style="39" customWidth="1"/>
    <col min="8438" max="8444" width="13.7109375" style="39" customWidth="1"/>
    <col min="8445" max="8690" width="11.42578125" style="39"/>
    <col min="8691" max="8691" width="12.5703125" style="39" customWidth="1"/>
    <col min="8692" max="8692" width="34.28515625" style="39" customWidth="1"/>
    <col min="8693" max="8693" width="20.28515625" style="39" customWidth="1"/>
    <col min="8694" max="8700" width="13.7109375" style="39" customWidth="1"/>
    <col min="8701" max="8946" width="11.42578125" style="39"/>
    <col min="8947" max="8947" width="12.5703125" style="39" customWidth="1"/>
    <col min="8948" max="8948" width="34.28515625" style="39" customWidth="1"/>
    <col min="8949" max="8949" width="20.28515625" style="39" customWidth="1"/>
    <col min="8950" max="8956" width="13.7109375" style="39" customWidth="1"/>
    <col min="8957" max="9202" width="11.42578125" style="39"/>
    <col min="9203" max="9203" width="12.5703125" style="39" customWidth="1"/>
    <col min="9204" max="9204" width="34.28515625" style="39" customWidth="1"/>
    <col min="9205" max="9205" width="20.28515625" style="39" customWidth="1"/>
    <col min="9206" max="9212" width="13.7109375" style="39" customWidth="1"/>
    <col min="9213" max="9458" width="11.42578125" style="39"/>
    <col min="9459" max="9459" width="12.5703125" style="39" customWidth="1"/>
    <col min="9460" max="9460" width="34.28515625" style="39" customWidth="1"/>
    <col min="9461" max="9461" width="20.28515625" style="39" customWidth="1"/>
    <col min="9462" max="9468" width="13.7109375" style="39" customWidth="1"/>
    <col min="9469" max="9714" width="11.42578125" style="39"/>
    <col min="9715" max="9715" width="12.5703125" style="39" customWidth="1"/>
    <col min="9716" max="9716" width="34.28515625" style="39" customWidth="1"/>
    <col min="9717" max="9717" width="20.28515625" style="39" customWidth="1"/>
    <col min="9718" max="9724" width="13.7109375" style="39" customWidth="1"/>
    <col min="9725" max="9970" width="11.42578125" style="39"/>
    <col min="9971" max="9971" width="12.5703125" style="39" customWidth="1"/>
    <col min="9972" max="9972" width="34.28515625" style="39" customWidth="1"/>
    <col min="9973" max="9973" width="20.28515625" style="39" customWidth="1"/>
    <col min="9974" max="9980" width="13.7109375" style="39" customWidth="1"/>
    <col min="9981" max="10226" width="11.42578125" style="39"/>
    <col min="10227" max="10227" width="12.5703125" style="39" customWidth="1"/>
    <col min="10228" max="10228" width="34.28515625" style="39" customWidth="1"/>
    <col min="10229" max="10229" width="20.28515625" style="39" customWidth="1"/>
    <col min="10230" max="10236" width="13.7109375" style="39" customWidth="1"/>
    <col min="10237" max="10482" width="11.42578125" style="39"/>
    <col min="10483" max="10483" width="12.5703125" style="39" customWidth="1"/>
    <col min="10484" max="10484" width="34.28515625" style="39" customWidth="1"/>
    <col min="10485" max="10485" width="20.28515625" style="39" customWidth="1"/>
    <col min="10486" max="10492" width="13.7109375" style="39" customWidth="1"/>
    <col min="10493" max="10738" width="11.42578125" style="39"/>
    <col min="10739" max="10739" width="12.5703125" style="39" customWidth="1"/>
    <col min="10740" max="10740" width="34.28515625" style="39" customWidth="1"/>
    <col min="10741" max="10741" width="20.28515625" style="39" customWidth="1"/>
    <col min="10742" max="10748" width="13.7109375" style="39" customWidth="1"/>
    <col min="10749" max="10994" width="11.42578125" style="39"/>
    <col min="10995" max="10995" width="12.5703125" style="39" customWidth="1"/>
    <col min="10996" max="10996" width="34.28515625" style="39" customWidth="1"/>
    <col min="10997" max="10997" width="20.28515625" style="39" customWidth="1"/>
    <col min="10998" max="11004" width="13.7109375" style="39" customWidth="1"/>
    <col min="11005" max="11250" width="11.42578125" style="39"/>
    <col min="11251" max="11251" width="12.5703125" style="39" customWidth="1"/>
    <col min="11252" max="11252" width="34.28515625" style="39" customWidth="1"/>
    <col min="11253" max="11253" width="20.28515625" style="39" customWidth="1"/>
    <col min="11254" max="11260" width="13.7109375" style="39" customWidth="1"/>
    <col min="11261" max="11506" width="11.42578125" style="39"/>
    <col min="11507" max="11507" width="12.5703125" style="39" customWidth="1"/>
    <col min="11508" max="11508" width="34.28515625" style="39" customWidth="1"/>
    <col min="11509" max="11509" width="20.28515625" style="39" customWidth="1"/>
    <col min="11510" max="11516" width="13.7109375" style="39" customWidth="1"/>
    <col min="11517" max="11762" width="11.42578125" style="39"/>
    <col min="11763" max="11763" width="12.5703125" style="39" customWidth="1"/>
    <col min="11764" max="11764" width="34.28515625" style="39" customWidth="1"/>
    <col min="11765" max="11765" width="20.28515625" style="39" customWidth="1"/>
    <col min="11766" max="11772" width="13.7109375" style="39" customWidth="1"/>
    <col min="11773" max="12018" width="11.42578125" style="39"/>
    <col min="12019" max="12019" width="12.5703125" style="39" customWidth="1"/>
    <col min="12020" max="12020" width="34.28515625" style="39" customWidth="1"/>
    <col min="12021" max="12021" width="20.28515625" style="39" customWidth="1"/>
    <col min="12022" max="12028" width="13.7109375" style="39" customWidth="1"/>
    <col min="12029" max="12274" width="11.42578125" style="39"/>
    <col min="12275" max="12275" width="12.5703125" style="39" customWidth="1"/>
    <col min="12276" max="12276" width="34.28515625" style="39" customWidth="1"/>
    <col min="12277" max="12277" width="20.28515625" style="39" customWidth="1"/>
    <col min="12278" max="12284" width="13.7109375" style="39" customWidth="1"/>
    <col min="12285" max="12530" width="11.42578125" style="39"/>
    <col min="12531" max="12531" width="12.5703125" style="39" customWidth="1"/>
    <col min="12532" max="12532" width="34.28515625" style="39" customWidth="1"/>
    <col min="12533" max="12533" width="20.28515625" style="39" customWidth="1"/>
    <col min="12534" max="12540" width="13.7109375" style="39" customWidth="1"/>
    <col min="12541" max="12786" width="11.42578125" style="39"/>
    <col min="12787" max="12787" width="12.5703125" style="39" customWidth="1"/>
    <col min="12788" max="12788" width="34.28515625" style="39" customWidth="1"/>
    <col min="12789" max="12789" width="20.28515625" style="39" customWidth="1"/>
    <col min="12790" max="12796" width="13.7109375" style="39" customWidth="1"/>
    <col min="12797" max="13042" width="11.42578125" style="39"/>
    <col min="13043" max="13043" width="12.5703125" style="39" customWidth="1"/>
    <col min="13044" max="13044" width="34.28515625" style="39" customWidth="1"/>
    <col min="13045" max="13045" width="20.28515625" style="39" customWidth="1"/>
    <col min="13046" max="13052" width="13.7109375" style="39" customWidth="1"/>
    <col min="13053" max="13298" width="11.42578125" style="39"/>
    <col min="13299" max="13299" width="12.5703125" style="39" customWidth="1"/>
    <col min="13300" max="13300" width="34.28515625" style="39" customWidth="1"/>
    <col min="13301" max="13301" width="20.28515625" style="39" customWidth="1"/>
    <col min="13302" max="13308" width="13.7109375" style="39" customWidth="1"/>
    <col min="13309" max="13554" width="11.42578125" style="39"/>
    <col min="13555" max="13555" width="12.5703125" style="39" customWidth="1"/>
    <col min="13556" max="13556" width="34.28515625" style="39" customWidth="1"/>
    <col min="13557" max="13557" width="20.28515625" style="39" customWidth="1"/>
    <col min="13558" max="13564" width="13.7109375" style="39" customWidth="1"/>
    <col min="13565" max="13810" width="11.42578125" style="39"/>
    <col min="13811" max="13811" width="12.5703125" style="39" customWidth="1"/>
    <col min="13812" max="13812" width="34.28515625" style="39" customWidth="1"/>
    <col min="13813" max="13813" width="20.28515625" style="39" customWidth="1"/>
    <col min="13814" max="13820" width="13.7109375" style="39" customWidth="1"/>
    <col min="13821" max="14066" width="11.42578125" style="39"/>
    <col min="14067" max="14067" width="12.5703125" style="39" customWidth="1"/>
    <col min="14068" max="14068" width="34.28515625" style="39" customWidth="1"/>
    <col min="14069" max="14069" width="20.28515625" style="39" customWidth="1"/>
    <col min="14070" max="14076" width="13.7109375" style="39" customWidth="1"/>
    <col min="14077" max="14322" width="11.42578125" style="39"/>
    <col min="14323" max="14323" width="12.5703125" style="39" customWidth="1"/>
    <col min="14324" max="14324" width="34.28515625" style="39" customWidth="1"/>
    <col min="14325" max="14325" width="20.28515625" style="39" customWidth="1"/>
    <col min="14326" max="14332" width="13.7109375" style="39" customWidth="1"/>
    <col min="14333" max="14578" width="11.42578125" style="39"/>
    <col min="14579" max="14579" width="12.5703125" style="39" customWidth="1"/>
    <col min="14580" max="14580" width="34.28515625" style="39" customWidth="1"/>
    <col min="14581" max="14581" width="20.28515625" style="39" customWidth="1"/>
    <col min="14582" max="14588" width="13.7109375" style="39" customWidth="1"/>
    <col min="14589" max="14834" width="11.42578125" style="39"/>
    <col min="14835" max="14835" width="12.5703125" style="39" customWidth="1"/>
    <col min="14836" max="14836" width="34.28515625" style="39" customWidth="1"/>
    <col min="14837" max="14837" width="20.28515625" style="39" customWidth="1"/>
    <col min="14838" max="14844" width="13.7109375" style="39" customWidth="1"/>
    <col min="14845" max="15090" width="11.42578125" style="39"/>
    <col min="15091" max="15091" width="12.5703125" style="39" customWidth="1"/>
    <col min="15092" max="15092" width="34.28515625" style="39" customWidth="1"/>
    <col min="15093" max="15093" width="20.28515625" style="39" customWidth="1"/>
    <col min="15094" max="15100" width="13.7109375" style="39" customWidth="1"/>
    <col min="15101" max="15346" width="11.42578125" style="39"/>
    <col min="15347" max="15347" width="12.5703125" style="39" customWidth="1"/>
    <col min="15348" max="15348" width="34.28515625" style="39" customWidth="1"/>
    <col min="15349" max="15349" width="20.28515625" style="39" customWidth="1"/>
    <col min="15350" max="15356" width="13.7109375" style="39" customWidth="1"/>
    <col min="15357" max="15602" width="11.42578125" style="39"/>
    <col min="15603" max="15603" width="12.5703125" style="39" customWidth="1"/>
    <col min="15604" max="15604" width="34.28515625" style="39" customWidth="1"/>
    <col min="15605" max="15605" width="20.28515625" style="39" customWidth="1"/>
    <col min="15606" max="15612" width="13.7109375" style="39" customWidth="1"/>
    <col min="15613" max="15858" width="11.42578125" style="39"/>
    <col min="15859" max="15859" width="12.5703125" style="39" customWidth="1"/>
    <col min="15860" max="15860" width="34.28515625" style="39" customWidth="1"/>
    <col min="15861" max="15861" width="20.28515625" style="39" customWidth="1"/>
    <col min="15862" max="15868" width="13.7109375" style="39" customWidth="1"/>
    <col min="15869" max="16114" width="11.42578125" style="39"/>
    <col min="16115" max="16115" width="12.5703125" style="39" customWidth="1"/>
    <col min="16116" max="16116" width="34.28515625" style="39" customWidth="1"/>
    <col min="16117" max="16117" width="20.28515625" style="39" customWidth="1"/>
    <col min="16118" max="16124" width="13.7109375" style="39" customWidth="1"/>
    <col min="16125" max="16384" width="11.42578125" style="39"/>
  </cols>
  <sheetData>
    <row r="1" spans="1:13" x14ac:dyDescent="0.2">
      <c r="A1" s="205" t="s">
        <v>58</v>
      </c>
      <c r="B1" s="205"/>
      <c r="C1" s="11"/>
      <c r="D1" s="11"/>
      <c r="E1" s="13"/>
      <c r="F1" s="39"/>
      <c r="G1" s="18"/>
      <c r="H1" s="17"/>
    </row>
    <row r="2" spans="1:13" x14ac:dyDescent="0.2">
      <c r="A2" s="205" t="s">
        <v>59</v>
      </c>
      <c r="B2" s="205"/>
      <c r="C2" s="11"/>
      <c r="D2" s="11"/>
      <c r="E2" s="13"/>
      <c r="F2" s="39"/>
      <c r="G2" s="18"/>
      <c r="H2" s="17"/>
    </row>
    <row r="3" spans="1:13" ht="4.5" customHeight="1" x14ac:dyDescent="0.2">
      <c r="A3" s="205"/>
      <c r="B3" s="205"/>
      <c r="C3" s="11"/>
      <c r="D3" s="11"/>
      <c r="E3" s="13"/>
      <c r="F3" s="39"/>
      <c r="G3" s="18"/>
      <c r="H3" s="17"/>
    </row>
    <row r="4" spans="1:13" ht="14.25" customHeight="1" x14ac:dyDescent="0.2">
      <c r="A4" s="341" t="s">
        <v>140</v>
      </c>
      <c r="B4" s="341"/>
      <c r="C4" s="341"/>
      <c r="D4" s="341"/>
      <c r="E4" s="341"/>
      <c r="F4" s="341"/>
      <c r="G4" s="155"/>
      <c r="H4" s="155"/>
    </row>
    <row r="5" spans="1:13" ht="15.75" customHeight="1" x14ac:dyDescent="0.2">
      <c r="A5" s="346" t="s">
        <v>69</v>
      </c>
      <c r="B5" s="347"/>
      <c r="C5" s="347"/>
      <c r="D5" s="347"/>
      <c r="E5" s="347"/>
      <c r="F5" s="347"/>
      <c r="G5" s="347"/>
      <c r="H5" s="347"/>
    </row>
    <row r="6" spans="1:13" ht="3" customHeight="1" thickBot="1" x14ac:dyDescent="0.25">
      <c r="A6" s="156"/>
      <c r="B6" s="157"/>
      <c r="C6" s="158"/>
      <c r="D6" s="159"/>
      <c r="E6" s="160"/>
      <c r="F6" s="160"/>
      <c r="G6" s="160"/>
      <c r="H6" s="160"/>
    </row>
    <row r="7" spans="1:13" ht="34.5" thickBot="1" x14ac:dyDescent="0.25">
      <c r="A7" s="161" t="s">
        <v>0</v>
      </c>
      <c r="B7" s="162" t="s">
        <v>1</v>
      </c>
      <c r="C7" s="200" t="s">
        <v>141</v>
      </c>
      <c r="D7" s="201" t="s">
        <v>61</v>
      </c>
      <c r="E7" s="201" t="s">
        <v>62</v>
      </c>
      <c r="F7" s="201" t="s">
        <v>63</v>
      </c>
      <c r="G7" s="201" t="s">
        <v>64</v>
      </c>
      <c r="H7" s="202" t="s">
        <v>65</v>
      </c>
    </row>
    <row r="8" spans="1:13" ht="24.75" customHeight="1" x14ac:dyDescent="0.2">
      <c r="A8" s="339" t="s">
        <v>30</v>
      </c>
      <c r="B8" s="340"/>
      <c r="C8" s="203">
        <f>SUM(C10,C28)</f>
        <v>90890</v>
      </c>
      <c r="D8" s="203">
        <f>SUM(D10,D28)</f>
        <v>67688.630641051161</v>
      </c>
      <c r="E8" s="203">
        <f>SUM(E10,E28)</f>
        <v>17360.239999999998</v>
      </c>
      <c r="F8" s="203">
        <f t="shared" ref="F8:H8" si="0">SUM(F10,F28)</f>
        <v>2257.6110631096954</v>
      </c>
      <c r="G8" s="203">
        <f t="shared" si="0"/>
        <v>3318.0702103656513</v>
      </c>
      <c r="H8" s="204">
        <f t="shared" si="0"/>
        <v>265.44561682925212</v>
      </c>
    </row>
    <row r="9" spans="1:13" ht="15.75" customHeight="1" x14ac:dyDescent="0.2">
      <c r="A9" s="350" t="s">
        <v>75</v>
      </c>
      <c r="B9" s="351"/>
      <c r="C9" s="165"/>
      <c r="D9" s="166"/>
      <c r="E9" s="166"/>
      <c r="F9" s="166"/>
      <c r="G9" s="166"/>
      <c r="H9" s="167"/>
    </row>
    <row r="10" spans="1:13" s="11" customFormat="1" ht="22.5" x14ac:dyDescent="0.2">
      <c r="A10" s="196">
        <v>1025</v>
      </c>
      <c r="B10" s="197" t="s">
        <v>4</v>
      </c>
      <c r="C10" s="198">
        <f>SUM(C12,C24)</f>
        <v>34454.959999999999</v>
      </c>
      <c r="D10" s="198">
        <f>SUM(D12,D24)</f>
        <v>17094.72</v>
      </c>
      <c r="E10" s="198">
        <f t="shared" ref="E10:H10" si="1">SUM(E12,E24)</f>
        <v>17360.239999999998</v>
      </c>
      <c r="F10" s="198">
        <f t="shared" si="1"/>
        <v>0</v>
      </c>
      <c r="G10" s="198">
        <f t="shared" si="1"/>
        <v>0</v>
      </c>
      <c r="H10" s="199">
        <f t="shared" si="1"/>
        <v>0</v>
      </c>
      <c r="I10" s="39"/>
      <c r="J10" s="39"/>
      <c r="K10" s="39"/>
      <c r="L10" s="39"/>
      <c r="M10" s="39"/>
    </row>
    <row r="11" spans="1:13" s="11" customFormat="1" x14ac:dyDescent="0.2">
      <c r="A11" s="354" t="s">
        <v>26</v>
      </c>
      <c r="B11" s="355"/>
      <c r="C11" s="168"/>
      <c r="D11" s="169"/>
      <c r="E11" s="169"/>
      <c r="F11" s="169"/>
      <c r="G11" s="169"/>
      <c r="H11" s="170"/>
      <c r="I11" s="39"/>
      <c r="J11" s="39"/>
      <c r="K11" s="39"/>
      <c r="L11" s="39"/>
      <c r="M11" s="39"/>
    </row>
    <row r="12" spans="1:13" s="11" customFormat="1" ht="21.75" customHeight="1" x14ac:dyDescent="0.2">
      <c r="A12" s="356" t="s">
        <v>38</v>
      </c>
      <c r="B12" s="357"/>
      <c r="C12" s="171">
        <f>SUM(C22,C17,C13)</f>
        <v>34322.239999999998</v>
      </c>
      <c r="D12" s="171">
        <f t="shared" ref="D12:H12" si="2">SUM(D22,D17,D13)</f>
        <v>17094.72</v>
      </c>
      <c r="E12" s="171">
        <f t="shared" si="2"/>
        <v>17227.519999999997</v>
      </c>
      <c r="F12" s="171">
        <f t="shared" si="2"/>
        <v>0</v>
      </c>
      <c r="G12" s="171">
        <f t="shared" si="2"/>
        <v>0</v>
      </c>
      <c r="H12" s="172">
        <f t="shared" si="2"/>
        <v>0</v>
      </c>
      <c r="I12" s="39"/>
      <c r="J12" s="39"/>
      <c r="K12" s="39"/>
      <c r="L12" s="39"/>
      <c r="M12" s="39"/>
    </row>
    <row r="13" spans="1:13" s="11" customFormat="1" x14ac:dyDescent="0.2">
      <c r="A13" s="173">
        <v>31</v>
      </c>
      <c r="B13" s="174" t="s">
        <v>5</v>
      </c>
      <c r="C13" s="168">
        <v>19934.96</v>
      </c>
      <c r="D13" s="168">
        <f t="shared" ref="D13:H13" si="3">SUM(D14:D16)</f>
        <v>17094.72</v>
      </c>
      <c r="E13" s="168">
        <f t="shared" si="3"/>
        <v>2840.24</v>
      </c>
      <c r="F13" s="168">
        <f t="shared" si="3"/>
        <v>0</v>
      </c>
      <c r="G13" s="168">
        <f t="shared" si="3"/>
        <v>0</v>
      </c>
      <c r="H13" s="175">
        <f t="shared" si="3"/>
        <v>0</v>
      </c>
      <c r="I13" s="39"/>
      <c r="J13" s="39"/>
      <c r="K13" s="39"/>
      <c r="L13" s="39"/>
      <c r="M13" s="39"/>
    </row>
    <row r="14" spans="1:13" x14ac:dyDescent="0.2">
      <c r="A14" s="176">
        <v>311</v>
      </c>
      <c r="B14" s="177" t="s">
        <v>6</v>
      </c>
      <c r="C14" s="178">
        <v>15789.1</v>
      </c>
      <c r="D14" s="179">
        <v>15789.1</v>
      </c>
      <c r="E14" s="166">
        <v>0</v>
      </c>
      <c r="F14" s="166"/>
      <c r="G14" s="166"/>
      <c r="H14" s="167"/>
    </row>
    <row r="15" spans="1:13" x14ac:dyDescent="0.2">
      <c r="A15" s="176">
        <v>312</v>
      </c>
      <c r="B15" s="177" t="s">
        <v>7</v>
      </c>
      <c r="C15" s="165">
        <v>1539.59</v>
      </c>
      <c r="D15" s="166">
        <f>0/7.5345</f>
        <v>0</v>
      </c>
      <c r="E15" s="166">
        <v>1539.59</v>
      </c>
      <c r="F15" s="166"/>
      <c r="G15" s="166"/>
      <c r="H15" s="167"/>
    </row>
    <row r="16" spans="1:13" x14ac:dyDescent="0.2">
      <c r="A16" s="176">
        <v>313</v>
      </c>
      <c r="B16" s="177" t="s">
        <v>8</v>
      </c>
      <c r="C16" s="165">
        <v>2606.27</v>
      </c>
      <c r="D16" s="166">
        <v>1305.6199999999999</v>
      </c>
      <c r="E16" s="166">
        <v>1300.6500000000001</v>
      </c>
      <c r="F16" s="166"/>
      <c r="G16" s="166"/>
      <c r="H16" s="167"/>
    </row>
    <row r="17" spans="1:8" x14ac:dyDescent="0.2">
      <c r="A17" s="173">
        <v>32</v>
      </c>
      <c r="B17" s="174" t="s">
        <v>9</v>
      </c>
      <c r="C17" s="168">
        <f>SUM(C18:C21)</f>
        <v>14201.339999999998</v>
      </c>
      <c r="D17" s="168">
        <f t="shared" ref="D17:H17" si="4">SUM(D18:D21)</f>
        <v>0</v>
      </c>
      <c r="E17" s="168">
        <f t="shared" si="4"/>
        <v>14201.339999999998</v>
      </c>
      <c r="F17" s="168">
        <f t="shared" si="4"/>
        <v>0</v>
      </c>
      <c r="G17" s="168">
        <f t="shared" si="4"/>
        <v>0</v>
      </c>
      <c r="H17" s="175">
        <f t="shared" si="4"/>
        <v>0</v>
      </c>
    </row>
    <row r="18" spans="1:8" x14ac:dyDescent="0.2">
      <c r="A18" s="176">
        <v>321</v>
      </c>
      <c r="B18" s="177" t="s">
        <v>10</v>
      </c>
      <c r="C18" s="165">
        <v>2282.83</v>
      </c>
      <c r="D18" s="166"/>
      <c r="E18" s="166">
        <v>2282.83</v>
      </c>
      <c r="F18" s="166"/>
      <c r="G18" s="166"/>
      <c r="H18" s="167"/>
    </row>
    <row r="19" spans="1:8" x14ac:dyDescent="0.2">
      <c r="A19" s="176">
        <v>322</v>
      </c>
      <c r="B19" s="177" t="s">
        <v>11</v>
      </c>
      <c r="C19" s="165">
        <v>1765.21</v>
      </c>
      <c r="D19" s="166"/>
      <c r="E19" s="166">
        <v>1765.21</v>
      </c>
      <c r="F19" s="166"/>
      <c r="G19" s="166"/>
      <c r="H19" s="167"/>
    </row>
    <row r="20" spans="1:8" x14ac:dyDescent="0.2">
      <c r="A20" s="176">
        <v>323</v>
      </c>
      <c r="B20" s="177" t="s">
        <v>12</v>
      </c>
      <c r="C20" s="165">
        <v>9277.33</v>
      </c>
      <c r="D20" s="166"/>
      <c r="E20" s="166">
        <v>9277.33</v>
      </c>
      <c r="F20" s="166"/>
      <c r="G20" s="166"/>
      <c r="H20" s="167"/>
    </row>
    <row r="21" spans="1:8" x14ac:dyDescent="0.2">
      <c r="A21" s="176">
        <v>329</v>
      </c>
      <c r="B21" s="180" t="s">
        <v>36</v>
      </c>
      <c r="C21" s="165">
        <v>875.97</v>
      </c>
      <c r="D21" s="166"/>
      <c r="E21" s="166">
        <v>875.97</v>
      </c>
      <c r="F21" s="166"/>
      <c r="G21" s="169"/>
      <c r="H21" s="170"/>
    </row>
    <row r="22" spans="1:8" x14ac:dyDescent="0.2">
      <c r="A22" s="173">
        <v>34</v>
      </c>
      <c r="B22" s="174" t="s">
        <v>13</v>
      </c>
      <c r="C22" s="168">
        <f>SUM(C23)</f>
        <v>185.94</v>
      </c>
      <c r="D22" s="169"/>
      <c r="E22" s="169">
        <f t="shared" ref="E22:G22" si="5">SUM(E23)</f>
        <v>185.94</v>
      </c>
      <c r="F22" s="169"/>
      <c r="G22" s="169">
        <f t="shared" si="5"/>
        <v>0</v>
      </c>
      <c r="H22" s="170"/>
    </row>
    <row r="23" spans="1:8" x14ac:dyDescent="0.2">
      <c r="A23" s="176">
        <v>343</v>
      </c>
      <c r="B23" s="177" t="s">
        <v>14</v>
      </c>
      <c r="C23" s="178">
        <v>185.94</v>
      </c>
      <c r="D23" s="179"/>
      <c r="E23" s="179">
        <v>185.94</v>
      </c>
      <c r="F23" s="166"/>
      <c r="G23" s="166"/>
      <c r="H23" s="167"/>
    </row>
    <row r="24" spans="1:8" ht="18.75" customHeight="1" x14ac:dyDescent="0.2">
      <c r="A24" s="356" t="s">
        <v>39</v>
      </c>
      <c r="B24" s="357"/>
      <c r="C24" s="181">
        <f>SUM(C25)</f>
        <v>132.72</v>
      </c>
      <c r="D24" s="181">
        <f>SUM(D25:D27)</f>
        <v>0</v>
      </c>
      <c r="E24" s="181">
        <f t="shared" ref="E24:H24" si="6">SUM(E25)</f>
        <v>132.72</v>
      </c>
      <c r="F24" s="181">
        <f t="shared" si="6"/>
        <v>0</v>
      </c>
      <c r="G24" s="181">
        <f t="shared" si="6"/>
        <v>0</v>
      </c>
      <c r="H24" s="182">
        <f t="shared" si="6"/>
        <v>0</v>
      </c>
    </row>
    <row r="25" spans="1:8" ht="18" x14ac:dyDescent="0.2">
      <c r="A25" s="173">
        <v>42</v>
      </c>
      <c r="B25" s="174" t="s">
        <v>28</v>
      </c>
      <c r="C25" s="168">
        <f>SUM(C26:C27)</f>
        <v>132.72</v>
      </c>
      <c r="D25" s="169"/>
      <c r="E25" s="169">
        <f t="shared" ref="E25" si="7">SUM(E26:E27)</f>
        <v>132.72</v>
      </c>
      <c r="F25" s="169"/>
      <c r="G25" s="169">
        <f t="shared" ref="G25" si="8">SUM(G26:G27)</f>
        <v>0</v>
      </c>
      <c r="H25" s="170"/>
    </row>
    <row r="26" spans="1:8" x14ac:dyDescent="0.2">
      <c r="A26" s="176">
        <v>422</v>
      </c>
      <c r="B26" s="177" t="s">
        <v>29</v>
      </c>
      <c r="C26" s="165">
        <v>132.72</v>
      </c>
      <c r="D26" s="166"/>
      <c r="E26" s="166">
        <v>132.72</v>
      </c>
      <c r="F26" s="169"/>
      <c r="G26" s="169"/>
      <c r="H26" s="170"/>
    </row>
    <row r="27" spans="1:8" x14ac:dyDescent="0.2">
      <c r="A27" s="176">
        <v>426</v>
      </c>
      <c r="B27" s="177" t="s">
        <v>27</v>
      </c>
      <c r="C27" s="165"/>
      <c r="D27" s="166"/>
      <c r="E27" s="166"/>
      <c r="F27" s="169"/>
      <c r="G27" s="169"/>
      <c r="H27" s="170"/>
    </row>
    <row r="28" spans="1:8" ht="22.5" x14ac:dyDescent="0.2">
      <c r="A28" s="183">
        <v>1026</v>
      </c>
      <c r="B28" s="184" t="s">
        <v>31</v>
      </c>
      <c r="C28" s="146">
        <f>SUM(C30,C43)</f>
        <v>56435.039999999994</v>
      </c>
      <c r="D28" s="146">
        <f t="shared" ref="D28:H28" si="9">SUM(D30,D43)</f>
        <v>50593.910641051167</v>
      </c>
      <c r="E28" s="146">
        <f t="shared" si="9"/>
        <v>0</v>
      </c>
      <c r="F28" s="146">
        <f t="shared" si="9"/>
        <v>2257.6110631096954</v>
      </c>
      <c r="G28" s="146">
        <f t="shared" si="9"/>
        <v>3318.0702103656513</v>
      </c>
      <c r="H28" s="147">
        <f t="shared" si="9"/>
        <v>265.44561682925212</v>
      </c>
    </row>
    <row r="29" spans="1:8" x14ac:dyDescent="0.2">
      <c r="A29" s="354" t="s">
        <v>32</v>
      </c>
      <c r="B29" s="355"/>
      <c r="C29" s="168"/>
      <c r="D29" s="169"/>
      <c r="E29" s="169"/>
      <c r="F29" s="169"/>
      <c r="G29" s="169"/>
      <c r="H29" s="170"/>
    </row>
    <row r="30" spans="1:8" ht="18.75" customHeight="1" x14ac:dyDescent="0.2">
      <c r="A30" s="356" t="s">
        <v>33</v>
      </c>
      <c r="B30" s="357"/>
      <c r="C30" s="171">
        <f>SUM(C31,C35,C41)</f>
        <v>51258.84</v>
      </c>
      <c r="D30" s="171">
        <f t="shared" ref="D30:H30" si="10">SUM(D31,D35,D41)</f>
        <v>49266.680641051164</v>
      </c>
      <c r="E30" s="171">
        <f t="shared" si="10"/>
        <v>0</v>
      </c>
      <c r="F30" s="171">
        <f t="shared" si="10"/>
        <v>1992.1610631096953</v>
      </c>
      <c r="G30" s="171">
        <f t="shared" si="10"/>
        <v>0</v>
      </c>
      <c r="H30" s="172">
        <f t="shared" si="10"/>
        <v>0</v>
      </c>
    </row>
    <row r="31" spans="1:8" x14ac:dyDescent="0.2">
      <c r="A31" s="173">
        <v>31</v>
      </c>
      <c r="B31" s="174" t="s">
        <v>5</v>
      </c>
      <c r="C31" s="168">
        <f>SUM(C32:C34)</f>
        <v>41117.53</v>
      </c>
      <c r="D31" s="169">
        <f t="shared" ref="D31" si="11">SUM(D32:D34)</f>
        <v>41117.53</v>
      </c>
      <c r="E31" s="169"/>
      <c r="F31" s="169">
        <f t="shared" ref="F31:H31" si="12">SUM(F32:F34)</f>
        <v>0</v>
      </c>
      <c r="G31" s="169">
        <f t="shared" si="12"/>
        <v>0</v>
      </c>
      <c r="H31" s="170">
        <f t="shared" si="12"/>
        <v>0</v>
      </c>
    </row>
    <row r="32" spans="1:8" x14ac:dyDescent="0.2">
      <c r="A32" s="176">
        <v>311</v>
      </c>
      <c r="B32" s="177" t="s">
        <v>6</v>
      </c>
      <c r="C32" s="178">
        <v>32948.44</v>
      </c>
      <c r="D32" s="179">
        <v>32948.44</v>
      </c>
      <c r="E32" s="166"/>
      <c r="F32" s="166"/>
      <c r="G32" s="166"/>
      <c r="H32" s="167"/>
    </row>
    <row r="33" spans="1:8" x14ac:dyDescent="0.2">
      <c r="A33" s="176">
        <v>312</v>
      </c>
      <c r="B33" s="177" t="s">
        <v>7</v>
      </c>
      <c r="C33" s="178">
        <v>2734.09</v>
      </c>
      <c r="D33" s="179">
        <v>2734.09</v>
      </c>
      <c r="E33" s="166"/>
      <c r="F33" s="166"/>
      <c r="G33" s="166"/>
      <c r="H33" s="167"/>
    </row>
    <row r="34" spans="1:8" x14ac:dyDescent="0.2">
      <c r="A34" s="176">
        <v>313</v>
      </c>
      <c r="B34" s="177" t="s">
        <v>8</v>
      </c>
      <c r="C34" s="178">
        <v>5435</v>
      </c>
      <c r="D34" s="179">
        <v>5435</v>
      </c>
      <c r="E34" s="166"/>
      <c r="F34" s="166"/>
      <c r="G34" s="166"/>
      <c r="H34" s="167"/>
    </row>
    <row r="35" spans="1:8" x14ac:dyDescent="0.2">
      <c r="A35" s="173">
        <v>32</v>
      </c>
      <c r="B35" s="174" t="s">
        <v>9</v>
      </c>
      <c r="C35" s="185">
        <f>SUM(C36:C40)</f>
        <v>9955.5</v>
      </c>
      <c r="D35" s="186">
        <f t="shared" ref="D35" si="13">SUM(D36:D40)</f>
        <v>7963.338709270688</v>
      </c>
      <c r="E35" s="169"/>
      <c r="F35" s="169">
        <f t="shared" ref="F35:H35" si="14">SUM(F36:F40)</f>
        <v>1992.1610631096953</v>
      </c>
      <c r="G35" s="169">
        <f t="shared" si="14"/>
        <v>0</v>
      </c>
      <c r="H35" s="170">
        <f t="shared" si="14"/>
        <v>0</v>
      </c>
    </row>
    <row r="36" spans="1:8" x14ac:dyDescent="0.2">
      <c r="A36" s="176">
        <v>321</v>
      </c>
      <c r="B36" s="177" t="s">
        <v>10</v>
      </c>
      <c r="C36" s="178">
        <v>3490.61</v>
      </c>
      <c r="D36" s="179">
        <v>2694.27</v>
      </c>
      <c r="E36" s="166"/>
      <c r="F36" s="166">
        <f>6000/7.5345</f>
        <v>796.33685048775624</v>
      </c>
      <c r="G36" s="166"/>
      <c r="H36" s="167"/>
    </row>
    <row r="37" spans="1:8" x14ac:dyDescent="0.2">
      <c r="A37" s="176">
        <v>322</v>
      </c>
      <c r="B37" s="177" t="s">
        <v>11</v>
      </c>
      <c r="C37" s="178">
        <v>1968.24</v>
      </c>
      <c r="D37" s="179">
        <v>1104.32</v>
      </c>
      <c r="E37" s="166"/>
      <c r="F37" s="166">
        <v>863.92</v>
      </c>
      <c r="G37" s="166"/>
      <c r="H37" s="167"/>
    </row>
    <row r="38" spans="1:8" x14ac:dyDescent="0.2">
      <c r="A38" s="176">
        <v>323</v>
      </c>
      <c r="B38" s="177" t="s">
        <v>12</v>
      </c>
      <c r="C38" s="178">
        <v>3583.52</v>
      </c>
      <c r="D38" s="179">
        <v>3450.7</v>
      </c>
      <c r="E38" s="166"/>
      <c r="F38" s="166">
        <v>132.82</v>
      </c>
      <c r="G38" s="166"/>
      <c r="H38" s="167"/>
    </row>
    <row r="39" spans="1:8" ht="18" x14ac:dyDescent="0.2">
      <c r="A39" s="176">
        <v>324</v>
      </c>
      <c r="B39" s="177" t="s">
        <v>34</v>
      </c>
      <c r="C39" s="178">
        <v>199.08</v>
      </c>
      <c r="D39" s="179"/>
      <c r="E39" s="166"/>
      <c r="F39" s="166">
        <f>1500/7.5345</f>
        <v>199.08421262193906</v>
      </c>
      <c r="G39" s="166"/>
      <c r="H39" s="167"/>
    </row>
    <row r="40" spans="1:8" x14ac:dyDescent="0.2">
      <c r="A40" s="176">
        <v>329</v>
      </c>
      <c r="B40" s="180" t="s">
        <v>36</v>
      </c>
      <c r="C40" s="178">
        <v>714.05</v>
      </c>
      <c r="D40" s="179">
        <f>5380/7.5345</f>
        <v>714.04870927068816</v>
      </c>
      <c r="E40" s="169"/>
      <c r="F40" s="166"/>
      <c r="G40" s="169"/>
      <c r="H40" s="170"/>
    </row>
    <row r="41" spans="1:8" x14ac:dyDescent="0.2">
      <c r="A41" s="173">
        <v>34</v>
      </c>
      <c r="B41" s="174" t="s">
        <v>13</v>
      </c>
      <c r="C41" s="168">
        <f>SUM(C42)</f>
        <v>185.81</v>
      </c>
      <c r="D41" s="169">
        <f>1400/7.5345</f>
        <v>185.81193178047647</v>
      </c>
      <c r="E41" s="169"/>
      <c r="F41" s="169">
        <f t="shared" ref="F41:H41" si="15">SUM(F42)</f>
        <v>0</v>
      </c>
      <c r="G41" s="169">
        <f t="shared" si="15"/>
        <v>0</v>
      </c>
      <c r="H41" s="170">
        <f t="shared" si="15"/>
        <v>0</v>
      </c>
    </row>
    <row r="42" spans="1:8" x14ac:dyDescent="0.2">
      <c r="A42" s="176">
        <v>343</v>
      </c>
      <c r="B42" s="177" t="s">
        <v>14</v>
      </c>
      <c r="C42" s="165">
        <v>185.81</v>
      </c>
      <c r="D42" s="166">
        <f>1400/7.5345</f>
        <v>185.81193178047647</v>
      </c>
      <c r="E42" s="166"/>
      <c r="F42" s="166"/>
      <c r="G42" s="166"/>
      <c r="H42" s="167"/>
    </row>
    <row r="43" spans="1:8" ht="18.75" customHeight="1" x14ac:dyDescent="0.2">
      <c r="A43" s="356" t="s">
        <v>37</v>
      </c>
      <c r="B43" s="357"/>
      <c r="C43" s="181">
        <f>SUM(C44)</f>
        <v>5176.2</v>
      </c>
      <c r="D43" s="181">
        <f t="shared" ref="D43:H43" si="16">SUM(D44)</f>
        <v>1327.23</v>
      </c>
      <c r="E43" s="181">
        <f t="shared" si="16"/>
        <v>0</v>
      </c>
      <c r="F43" s="181">
        <f t="shared" si="16"/>
        <v>265.45</v>
      </c>
      <c r="G43" s="181">
        <f t="shared" si="16"/>
        <v>3318.0702103656513</v>
      </c>
      <c r="H43" s="182">
        <f t="shared" si="16"/>
        <v>265.44561682925212</v>
      </c>
    </row>
    <row r="44" spans="1:8" ht="18" x14ac:dyDescent="0.2">
      <c r="A44" s="173">
        <v>42</v>
      </c>
      <c r="B44" s="174" t="s">
        <v>28</v>
      </c>
      <c r="C44" s="168">
        <f>SUM(C46:C47)</f>
        <v>5176.2</v>
      </c>
      <c r="D44" s="169">
        <f t="shared" ref="D44" si="17">SUM(D45:D47)</f>
        <v>1327.23</v>
      </c>
      <c r="E44" s="169"/>
      <c r="F44" s="169">
        <f t="shared" ref="F44:G44" si="18">SUM(F45:F47)</f>
        <v>265.45</v>
      </c>
      <c r="G44" s="169">
        <f t="shared" si="18"/>
        <v>3318.0702103656513</v>
      </c>
      <c r="H44" s="170">
        <f>SUM(H45:H47)</f>
        <v>265.44561682925212</v>
      </c>
    </row>
    <row r="45" spans="1:8" x14ac:dyDescent="0.2">
      <c r="A45" s="176">
        <v>422</v>
      </c>
      <c r="B45" s="177" t="s">
        <v>29</v>
      </c>
      <c r="C45" s="165"/>
      <c r="D45" s="166"/>
      <c r="E45" s="166"/>
      <c r="F45" s="166"/>
      <c r="G45" s="169"/>
      <c r="H45" s="170"/>
    </row>
    <row r="46" spans="1:8" ht="18" x14ac:dyDescent="0.2">
      <c r="A46" s="176">
        <v>424</v>
      </c>
      <c r="B46" s="177" t="s">
        <v>35</v>
      </c>
      <c r="C46" s="165">
        <v>5176.2</v>
      </c>
      <c r="D46" s="166">
        <v>1327.23</v>
      </c>
      <c r="E46" s="166"/>
      <c r="F46" s="166">
        <v>265.45</v>
      </c>
      <c r="G46" s="166">
        <f>25000/7.5345</f>
        <v>3318.0702103656513</v>
      </c>
      <c r="H46" s="167">
        <f>2000/7.5345</f>
        <v>265.44561682925212</v>
      </c>
    </row>
    <row r="47" spans="1:8" ht="13.5" thickBot="1" x14ac:dyDescent="0.25">
      <c r="A47" s="187">
        <v>426</v>
      </c>
      <c r="B47" s="188" t="s">
        <v>27</v>
      </c>
      <c r="C47" s="189"/>
      <c r="D47" s="190"/>
      <c r="E47" s="190"/>
      <c r="F47" s="190"/>
      <c r="G47" s="190"/>
      <c r="H47" s="191"/>
    </row>
  </sheetData>
  <mergeCells count="10">
    <mergeCell ref="A4:F4"/>
    <mergeCell ref="A5:H5"/>
    <mergeCell ref="A8:B8"/>
    <mergeCell ref="A43:B43"/>
    <mergeCell ref="A9:B9"/>
    <mergeCell ref="A11:B11"/>
    <mergeCell ref="A12:B12"/>
    <mergeCell ref="A24:B24"/>
    <mergeCell ref="A29:B29"/>
    <mergeCell ref="A30:B3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OPĆI DIO</vt:lpstr>
      <vt:lpstr>funkcijska klasifika</vt:lpstr>
      <vt:lpstr>izvori financiranja</vt:lpstr>
      <vt:lpstr>PRIHODI</vt:lpstr>
      <vt:lpstr>RASHODI 2023. 3.razina</vt:lpstr>
      <vt:lpstr>RASHODI 2024. 3.razina</vt:lpstr>
      <vt:lpstr>RASHODI 2025. 3.razina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Ilinić</dc:creator>
  <cp:lastModifiedBy>Manuela</cp:lastModifiedBy>
  <cp:lastPrinted>2022-11-24T07:27:53Z</cp:lastPrinted>
  <dcterms:created xsi:type="dcterms:W3CDTF">2020-11-10T10:50:21Z</dcterms:created>
  <dcterms:modified xsi:type="dcterms:W3CDTF">2022-11-24T07:28:14Z</dcterms:modified>
</cp:coreProperties>
</file>